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017 2018 Final budget to NT,PT &amp; COGHSTA\"/>
    </mc:Choice>
  </mc:AlternateContent>
  <bookViews>
    <workbookView xWindow="0" yWindow="0" windowWidth="20490" windowHeight="74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 r="F62" i="1"/>
  <c r="E62" i="1"/>
  <c r="A56" i="1"/>
  <c r="N54" i="1"/>
  <c r="K51" i="1"/>
  <c r="J51" i="1"/>
  <c r="G51" i="1"/>
  <c r="F51" i="1"/>
  <c r="C51" i="1"/>
  <c r="B51" i="1"/>
  <c r="M50" i="1"/>
  <c r="A50" i="1"/>
  <c r="M49" i="1"/>
  <c r="A49" i="1"/>
  <c r="M48" i="1"/>
  <c r="A48" i="1"/>
  <c r="L45" i="1"/>
  <c r="L62" i="1" s="1"/>
  <c r="K45" i="1"/>
  <c r="K62" i="1" s="1"/>
  <c r="J45" i="1"/>
  <c r="I45" i="1"/>
  <c r="I51" i="1" s="1"/>
  <c r="H45" i="1"/>
  <c r="H62" i="1" s="1"/>
  <c r="G45" i="1"/>
  <c r="G62" i="1" s="1"/>
  <c r="F45" i="1"/>
  <c r="E45" i="1"/>
  <c r="E51" i="1" s="1"/>
  <c r="D45" i="1"/>
  <c r="D51" i="1" s="1"/>
  <c r="C45" i="1"/>
  <c r="B45" i="1"/>
  <c r="O44" i="1"/>
  <c r="N44" i="1"/>
  <c r="N45" i="1" s="1"/>
  <c r="M43" i="1"/>
  <c r="M42" i="1"/>
  <c r="P41" i="1"/>
  <c r="P45" i="1" s="1"/>
  <c r="O41" i="1"/>
  <c r="M41" i="1"/>
  <c r="P40" i="1"/>
  <c r="O40" i="1"/>
  <c r="M40" i="1"/>
  <c r="M39" i="1"/>
  <c r="P38" i="1"/>
  <c r="O38" i="1"/>
  <c r="O45" i="1" s="1"/>
  <c r="M38" i="1"/>
  <c r="M37" i="1"/>
  <c r="M36" i="1"/>
  <c r="M35" i="1"/>
  <c r="N32" i="1"/>
  <c r="J32" i="1"/>
  <c r="J53" i="1" s="1"/>
  <c r="J63" i="1" s="1"/>
  <c r="I32" i="1"/>
  <c r="F32" i="1"/>
  <c r="F53" i="1" s="1"/>
  <c r="F63" i="1" s="1"/>
  <c r="E32" i="1"/>
  <c r="E53" i="1" s="1"/>
  <c r="E63" i="1" s="1"/>
  <c r="B32" i="1"/>
  <c r="B53" i="1" s="1"/>
  <c r="B55" i="1" s="1"/>
  <c r="C54" i="1" s="1"/>
  <c r="M31" i="1"/>
  <c r="A31" i="1"/>
  <c r="M30" i="1"/>
  <c r="A30" i="1"/>
  <c r="M29" i="1"/>
  <c r="A29" i="1"/>
  <c r="O28" i="1"/>
  <c r="P28" i="1" s="1"/>
  <c r="M28" i="1"/>
  <c r="A28" i="1"/>
  <c r="N27" i="1"/>
  <c r="M27" i="1"/>
  <c r="A27" i="1"/>
  <c r="M26" i="1"/>
  <c r="A26" i="1"/>
  <c r="M25" i="1"/>
  <c r="A25" i="1"/>
  <c r="M24" i="1"/>
  <c r="A24" i="1"/>
  <c r="M23" i="1"/>
  <c r="P20" i="1"/>
  <c r="O20" i="1"/>
  <c r="O32" i="1" s="1"/>
  <c r="N20" i="1"/>
  <c r="L20" i="1"/>
  <c r="L32" i="1" s="1"/>
  <c r="K20" i="1"/>
  <c r="K32" i="1" s="1"/>
  <c r="K53" i="1" s="1"/>
  <c r="K63" i="1" s="1"/>
  <c r="J20" i="1"/>
  <c r="I20" i="1"/>
  <c r="H20" i="1"/>
  <c r="H32" i="1" s="1"/>
  <c r="G20" i="1"/>
  <c r="G32" i="1" s="1"/>
  <c r="G53" i="1" s="1"/>
  <c r="G63" i="1" s="1"/>
  <c r="F20" i="1"/>
  <c r="E20" i="1"/>
  <c r="D20" i="1"/>
  <c r="D32" i="1" s="1"/>
  <c r="D53" i="1" s="1"/>
  <c r="C20" i="1"/>
  <c r="C32" i="1" s="1"/>
  <c r="C53" i="1" s="1"/>
  <c r="B20" i="1"/>
  <c r="M19" i="1"/>
  <c r="A19" i="1"/>
  <c r="M18" i="1"/>
  <c r="M17" i="1"/>
  <c r="A17" i="1"/>
  <c r="M16" i="1"/>
  <c r="A16" i="1"/>
  <c r="M15" i="1"/>
  <c r="A15" i="1"/>
  <c r="M14" i="1"/>
  <c r="A14" i="1"/>
  <c r="M13" i="1"/>
  <c r="A13" i="1"/>
  <c r="M12" i="1"/>
  <c r="A12" i="1"/>
  <c r="M11" i="1"/>
  <c r="A11" i="1"/>
  <c r="M10" i="1"/>
  <c r="A10" i="1"/>
  <c r="M9" i="1"/>
  <c r="A9" i="1"/>
  <c r="M8" i="1"/>
  <c r="A8" i="1"/>
  <c r="M7" i="1"/>
  <c r="A7" i="1"/>
  <c r="M6" i="1"/>
  <c r="M20" i="1" s="1"/>
  <c r="M32" i="1" s="1"/>
  <c r="A6" i="1"/>
  <c r="M5" i="1"/>
  <c r="A5" i="1"/>
  <c r="P3" i="1"/>
  <c r="O3" i="1"/>
  <c r="N3" i="1"/>
  <c r="B2" i="1"/>
  <c r="A1" i="1"/>
  <c r="N53" i="1" l="1"/>
  <c r="N63" i="1" s="1"/>
  <c r="N62" i="1"/>
  <c r="N51" i="1"/>
  <c r="P62" i="1"/>
  <c r="P51" i="1"/>
  <c r="P32" i="1"/>
  <c r="C55" i="1"/>
  <c r="D54" i="1" s="1"/>
  <c r="D55" i="1" s="1"/>
  <c r="E54" i="1" s="1"/>
  <c r="E55" i="1" s="1"/>
  <c r="F54" i="1" s="1"/>
  <c r="F55" i="1" s="1"/>
  <c r="G54" i="1" s="1"/>
  <c r="G55" i="1" s="1"/>
  <c r="H54" i="1" s="1"/>
  <c r="H53" i="1"/>
  <c r="H63" i="1" s="1"/>
  <c r="O62" i="1"/>
  <c r="O51" i="1"/>
  <c r="O53" i="1"/>
  <c r="O63" i="1" s="1"/>
  <c r="I53" i="1"/>
  <c r="I63" i="1" s="1"/>
  <c r="M44" i="1"/>
  <c r="M45" i="1" s="1"/>
  <c r="H51" i="1"/>
  <c r="L51" i="1"/>
  <c r="L53" i="1" s="1"/>
  <c r="L63" i="1" s="1"/>
  <c r="M51" i="1" l="1"/>
  <c r="M53" i="1" s="1"/>
  <c r="M63" i="1" s="1"/>
  <c r="M62" i="1"/>
  <c r="N55" i="1"/>
  <c r="O54" i="1" s="1"/>
  <c r="O55" i="1" s="1"/>
  <c r="P54" i="1" s="1"/>
  <c r="H55" i="1"/>
  <c r="I54" i="1" s="1"/>
  <c r="I55" i="1" s="1"/>
  <c r="J54" i="1" s="1"/>
  <c r="J55" i="1" s="1"/>
  <c r="K54" i="1" s="1"/>
  <c r="K55" i="1" s="1"/>
  <c r="L54" i="1" s="1"/>
  <c r="L55" i="1" s="1"/>
  <c r="M54" i="1" s="1"/>
  <c r="M55" i="1" s="1"/>
  <c r="P53" i="1"/>
  <c r="P63" i="1" s="1"/>
  <c r="P55" i="1" l="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<sst xmlns="http://schemas.openxmlformats.org/spreadsheetml/2006/main" count="40" uniqueCount="39">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</sst>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_);_(* \(#,##0,\);_(* &quot;–&quot;?_);_(@_)"/>
    <numFmt numFmtId="165" formatCode="#,###,;\(#,###,\)"/>
    <numFmt numFmtId="166" formatCode="_ * #,##0_ ;_ * \-#,##0_ ;_ * &quot;-&quot;??_ ;_ @_ "/>
  </numFmts>
  <fonts count="8" x14ac:knownFonts="1">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1" xfId="0" applyNumberFormat="1" applyFont="1" applyBorder="1"/>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0" fontId="3" fillId="0" borderId="12" xfId="0" applyNumberFormat="1" applyFont="1" applyBorder="1" applyAlignment="1">
      <alignment horizontal="center"/>
    </xf>
    <xf numFmtId="164" fontId="4" fillId="0" borderId="15" xfId="0" applyNumberFormat="1" applyFont="1" applyBorder="1" applyAlignment="1">
      <alignment horizontal="center"/>
    </xf>
    <xf numFmtId="0" fontId="3" fillId="0" borderId="0" xfId="0" applyFont="1" applyFill="1"/>
    <xf numFmtId="0" fontId="3" fillId="0" borderId="11" xfId="0" applyNumberFormat="1" applyFont="1" applyBorder="1" applyAlignment="1">
      <alignment horizontal="left" indent="1"/>
    </xf>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0" borderId="18" xfId="0" applyNumberFormat="1" applyFont="1" applyBorder="1"/>
    <xf numFmtId="164" fontId="3" fillId="2" borderId="19" xfId="0" applyNumberFormat="1" applyFont="1" applyFill="1" applyBorder="1" applyProtection="1">
      <protection locked="0"/>
    </xf>
    <xf numFmtId="164" fontId="3" fillId="2" borderId="0" xfId="0" applyNumberFormat="1" applyFont="1" applyFill="1" applyBorder="1" applyProtection="1">
      <protection locked="0"/>
    </xf>
    <xf numFmtId="164" fontId="3" fillId="2" borderId="11" xfId="0" applyNumberFormat="1" applyFont="1" applyFill="1" applyBorder="1" applyProtection="1">
      <protection locked="0"/>
    </xf>
    <xf numFmtId="0" fontId="3" fillId="0" borderId="11" xfId="0" applyFont="1" applyBorder="1" applyAlignment="1">
      <alignment horizontal="left" indent="1"/>
    </xf>
    <xf numFmtId="0" fontId="4" fillId="0" borderId="11"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164" fontId="4" fillId="0" borderId="23" xfId="0" applyNumberFormat="1" applyFont="1" applyFill="1" applyBorder="1"/>
    <xf numFmtId="0" fontId="3" fillId="0" borderId="11" xfId="0" applyNumberFormat="1" applyFont="1" applyFill="1" applyBorder="1"/>
    <xf numFmtId="164" fontId="3" fillId="0" borderId="16" xfId="0" applyNumberFormat="1" applyFont="1" applyFill="1" applyBorder="1"/>
    <xf numFmtId="164" fontId="3" fillId="0" borderId="17" xfId="0" applyNumberFormat="1" applyFont="1" applyFill="1" applyBorder="1"/>
    <xf numFmtId="164" fontId="3" fillId="0" borderId="18" xfId="0" applyNumberFormat="1" applyFont="1" applyFill="1" applyBorder="1"/>
    <xf numFmtId="164" fontId="3" fillId="0" borderId="19" xfId="0" applyNumberFormat="1" applyFont="1" applyFill="1" applyBorder="1"/>
    <xf numFmtId="0" fontId="4" fillId="0" borderId="11" xfId="0" applyNumberFormat="1" applyFont="1" applyFill="1" applyBorder="1" applyAlignment="1">
      <alignment horizontal="left"/>
    </xf>
    <xf numFmtId="0" fontId="3" fillId="0" borderId="11" xfId="0" applyFont="1" applyFill="1" applyBorder="1" applyAlignment="1">
      <alignment horizontal="left" indent="1"/>
    </xf>
    <xf numFmtId="0" fontId="3" fillId="0" borderId="11" xfId="0" applyNumberFormat="1" applyFont="1" applyFill="1" applyBorder="1" applyAlignment="1">
      <alignment horizontal="left" wrapText="1" indent="1"/>
    </xf>
    <xf numFmtId="0" fontId="3" fillId="0" borderId="11" xfId="0" applyNumberFormat="1" applyFont="1" applyFill="1" applyBorder="1" applyAlignment="1">
      <alignment horizontal="left" indent="1"/>
    </xf>
    <xf numFmtId="0"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164" fontId="4" fillId="0" borderId="28" xfId="0" applyNumberFormat="1" applyFont="1" applyFill="1" applyBorder="1"/>
    <xf numFmtId="0" fontId="3" fillId="0" borderId="11" xfId="0" applyNumberFormat="1" applyFont="1" applyFill="1" applyBorder="1" applyAlignment="1"/>
    <xf numFmtId="0" fontId="5" fillId="0" borderId="11" xfId="0" applyNumberFormat="1" applyFont="1" applyFill="1" applyBorder="1"/>
    <xf numFmtId="164" fontId="3" fillId="0" borderId="16"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9" xfId="0" applyNumberFormat="1" applyFont="1" applyFill="1" applyBorder="1" applyAlignment="1">
      <alignment vertical="center" wrapText="1"/>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4"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165" fontId="4" fillId="0" borderId="36"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37" xfId="0" applyNumberFormat="1" applyFont="1" applyFill="1" applyBorder="1" applyProtection="1">
      <protection locked="0"/>
    </xf>
    <xf numFmtId="164" fontId="3" fillId="0" borderId="21" xfId="0" applyNumberFormat="1" applyFont="1" applyFill="1" applyBorder="1"/>
    <xf numFmtId="164" fontId="3" fillId="0" borderId="22" xfId="0" applyNumberFormat="1" applyFont="1" applyFill="1" applyBorder="1"/>
    <xf numFmtId="164" fontId="3" fillId="0" borderId="20" xfId="0" applyNumberFormat="1" applyFont="1" applyFill="1" applyBorder="1"/>
    <xf numFmtId="164" fontId="3" fillId="0" borderId="23" xfId="0" applyNumberFormat="1" applyFont="1" applyFill="1" applyBorder="1"/>
    <xf numFmtId="0" fontId="3" fillId="0" borderId="38" xfId="0" applyNumberFormat="1" applyFont="1" applyFill="1" applyBorder="1"/>
    <xf numFmtId="164" fontId="3" fillId="0" borderId="6" xfId="0" applyNumberFormat="1" applyFont="1" applyFill="1" applyBorder="1"/>
    <xf numFmtId="164" fontId="3" fillId="0" borderId="39" xfId="0" applyNumberFormat="1" applyFont="1" applyFill="1" applyBorder="1"/>
    <xf numFmtId="164" fontId="3" fillId="0" borderId="9" xfId="0" applyNumberFormat="1" applyFont="1" applyFill="1" applyBorder="1"/>
    <xf numFmtId="164" fontId="3" fillId="0" borderId="40" xfId="0" applyNumberFormat="1" applyFont="1" applyFill="1" applyBorder="1"/>
    <xf numFmtId="164" fontId="3" fillId="0" borderId="41" xfId="0" applyNumberFormat="1" applyFont="1" applyFill="1" applyBorder="1"/>
    <xf numFmtId="0" fontId="7" fillId="0" borderId="0" xfId="0" applyFont="1" applyBorder="1" applyAlignment="1" applyProtection="1">
      <alignment horizontal="left"/>
    </xf>
    <xf numFmtId="165" fontId="3" fillId="0" borderId="0" xfId="0" applyNumberFormat="1" applyFont="1" applyFill="1" applyBorder="1"/>
    <xf numFmtId="166" fontId="3" fillId="0" borderId="0" xfId="1" applyNumberFormat="1" applyFont="1"/>
    <xf numFmtId="165" fontId="3" fillId="0" borderId="0" xfId="0" applyNumberFormat="1" applyFont="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inal%20Budget\2017%202018%20Final%20Budget\Copy%20of%202%20(a)%202017%202018%20Supporting%20tables%20A1%20to%20A10%20and%20SA1%20to%20SA37%20%20Consolidated%20(3)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2017/18</v>
          </cell>
        </row>
        <row r="16">
          <cell r="B16" t="str">
            <v>Budget Year +1 2018/19</v>
          </cell>
        </row>
        <row r="17">
          <cell r="B17" t="str">
            <v>Budget Year +2 2019/20</v>
          </cell>
        </row>
        <row r="34">
          <cell r="B34" t="str">
            <v>References</v>
          </cell>
        </row>
        <row r="93">
          <cell r="B93" t="str">
            <v>LIM333 Greater Tzaneen</v>
          </cell>
        </row>
        <row r="142">
          <cell r="B142" t="str">
            <v>Supporting Table SA30 Consolidated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0">
          <cell r="A10" t="str">
            <v>Service charges - other</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0"/>
  <sheetViews>
    <sheetView tabSelected="1" workbookViewId="0">
      <selection sqref="A1:XFD1048576"/>
    </sheetView>
  </sheetViews>
  <sheetFormatPr defaultRowHeight="12.75" x14ac:dyDescent="0.2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ustomHeight="1" x14ac:dyDescent="0.25">
      <c r="A1" s="1" t="str">
        <f>muni&amp;" - "&amp; TableA30</f>
        <v>LIM333 Greater Tzaneen - Supporting Table SA30 Consolidated budgeted monthly cash flow</v>
      </c>
      <c r="B1" s="1"/>
      <c r="C1" s="1"/>
      <c r="D1" s="1"/>
      <c r="E1" s="1"/>
      <c r="F1" s="1"/>
      <c r="G1" s="1"/>
      <c r="H1" s="1"/>
      <c r="I1" s="1"/>
      <c r="J1" s="1"/>
      <c r="K1" s="1"/>
      <c r="L1" s="1"/>
      <c r="M1" s="1"/>
      <c r="N1" s="1"/>
      <c r="O1" s="1"/>
      <c r="P1" s="1"/>
      <c r="Q1" s="1"/>
    </row>
    <row r="2" spans="1:22" ht="28.5" customHeight="1" x14ac:dyDescent="0.25">
      <c r="A2" s="3" t="s">
        <v>0</v>
      </c>
      <c r="B2" s="73" t="str">
        <f>Head9</f>
        <v>Budget Year 2017/18</v>
      </c>
      <c r="C2" s="74"/>
      <c r="D2" s="74"/>
      <c r="E2" s="74"/>
      <c r="F2" s="74"/>
      <c r="G2" s="74"/>
      <c r="H2" s="74"/>
      <c r="I2" s="74"/>
      <c r="J2" s="74"/>
      <c r="K2" s="74"/>
      <c r="L2" s="74"/>
      <c r="M2" s="74"/>
      <c r="N2" s="75" t="s">
        <v>1</v>
      </c>
      <c r="O2" s="76"/>
      <c r="P2" s="77"/>
    </row>
    <row r="3" spans="1:22" ht="25.5" x14ac:dyDescent="0.25">
      <c r="A3" s="4" t="s">
        <v>2</v>
      </c>
      <c r="B3" s="5" t="s">
        <v>3</v>
      </c>
      <c r="C3" s="6" t="s">
        <v>4</v>
      </c>
      <c r="D3" s="6" t="s">
        <v>5</v>
      </c>
      <c r="E3" s="6" t="s">
        <v>6</v>
      </c>
      <c r="F3" s="6" t="s">
        <v>7</v>
      </c>
      <c r="G3" s="6" t="s">
        <v>8</v>
      </c>
      <c r="H3" s="6" t="s">
        <v>9</v>
      </c>
      <c r="I3" s="6" t="s">
        <v>10</v>
      </c>
      <c r="J3" s="6" t="s">
        <v>11</v>
      </c>
      <c r="K3" s="6" t="s">
        <v>12</v>
      </c>
      <c r="L3" s="6" t="s">
        <v>13</v>
      </c>
      <c r="M3" s="7" t="s">
        <v>14</v>
      </c>
      <c r="N3" s="5" t="str">
        <f>Head9</f>
        <v>Budget Year 2017/18</v>
      </c>
      <c r="O3" s="6" t="str">
        <f>Head10</f>
        <v>Budget Year +1 2018/19</v>
      </c>
      <c r="P3" s="8" t="str">
        <f>Head11</f>
        <v>Budget Year +2 2019/20</v>
      </c>
    </row>
    <row r="4" spans="1:22" x14ac:dyDescent="0.25">
      <c r="A4" s="9" t="s">
        <v>15</v>
      </c>
      <c r="B4" s="10"/>
      <c r="C4" s="11"/>
      <c r="D4" s="11"/>
      <c r="E4" s="11"/>
      <c r="F4" s="11"/>
      <c r="G4" s="11"/>
      <c r="H4" s="11"/>
      <c r="I4" s="11"/>
      <c r="J4" s="11"/>
      <c r="K4" s="11"/>
      <c r="L4" s="11"/>
      <c r="M4" s="12"/>
      <c r="N4" s="13">
        <v>1</v>
      </c>
      <c r="O4" s="11"/>
      <c r="P4" s="14"/>
      <c r="T4" s="15"/>
    </row>
    <row r="5" spans="1:22" x14ac:dyDescent="0.25">
      <c r="A5" s="16" t="str">
        <f>'[1]A4-FinPerf RE'!A5</f>
        <v>Property rates</v>
      </c>
      <c r="B5" s="17">
        <v>5368937.0882444363</v>
      </c>
      <c r="C5" s="18">
        <v>6134786.4965850571</v>
      </c>
      <c r="D5" s="18">
        <v>5655443.1445946181</v>
      </c>
      <c r="E5" s="18">
        <v>6289850.6997669609</v>
      </c>
      <c r="F5" s="18">
        <v>6243594.632342957</v>
      </c>
      <c r="G5" s="18">
        <v>6158905.5379833868</v>
      </c>
      <c r="H5" s="18">
        <v>6051885.3784254575</v>
      </c>
      <c r="I5" s="18">
        <v>6752457.9330918714</v>
      </c>
      <c r="J5" s="18">
        <v>7409379.6523604766</v>
      </c>
      <c r="K5" s="18">
        <v>7239688.6895991089</v>
      </c>
      <c r="L5" s="18">
        <v>6429946.7006239891</v>
      </c>
      <c r="M5" s="19">
        <f t="shared" ref="M5:M19" si="0">N5-SUM(B5:L5)</f>
        <v>7190124.0463816822</v>
      </c>
      <c r="N5" s="17">
        <v>76925000</v>
      </c>
      <c r="O5" s="18">
        <v>81463575</v>
      </c>
      <c r="P5" s="20">
        <v>86188462.349999994</v>
      </c>
      <c r="Q5" s="21">
        <v>100001</v>
      </c>
      <c r="R5" s="22">
        <v>100001</v>
      </c>
      <c r="S5" s="22">
        <v>100001</v>
      </c>
      <c r="T5" s="15"/>
      <c r="U5" s="15"/>
      <c r="V5" s="15"/>
    </row>
    <row r="6" spans="1:22" x14ac:dyDescent="0.25">
      <c r="A6" s="16" t="str">
        <f>'[1]A4-FinPerf RE'!A6</f>
        <v>Service charges - electricity revenue</v>
      </c>
      <c r="B6" s="17">
        <v>32962144.419533309</v>
      </c>
      <c r="C6" s="18">
        <v>33580771.49298501</v>
      </c>
      <c r="D6" s="18">
        <v>39996560.939265423</v>
      </c>
      <c r="E6" s="18">
        <v>41527911.54475642</v>
      </c>
      <c r="F6" s="18">
        <v>44463929.595688127</v>
      </c>
      <c r="G6" s="18">
        <v>35033361.035798967</v>
      </c>
      <c r="H6" s="18">
        <v>37435064.819145896</v>
      </c>
      <c r="I6" s="18">
        <v>37696623.385742024</v>
      </c>
      <c r="J6" s="18">
        <v>35284183.671434566</v>
      </c>
      <c r="K6" s="18">
        <v>32408774.142348915</v>
      </c>
      <c r="L6" s="18">
        <v>43767365.932725415</v>
      </c>
      <c r="M6" s="19">
        <f t="shared" si="0"/>
        <v>37731779.020575881</v>
      </c>
      <c r="N6" s="17">
        <v>451888470</v>
      </c>
      <c r="O6" s="18">
        <v>478549889.73000002</v>
      </c>
      <c r="P6" s="20">
        <v>506305783.33433998</v>
      </c>
      <c r="T6" s="15"/>
      <c r="U6" s="15"/>
      <c r="V6" s="15"/>
    </row>
    <row r="7" spans="1:22" x14ac:dyDescent="0.25">
      <c r="A7" s="16" t="str">
        <f>'[1]A4-FinPerf RE'!A7</f>
        <v>Service charges - water revenue</v>
      </c>
      <c r="B7" s="17">
        <v>0</v>
      </c>
      <c r="C7" s="18">
        <v>0</v>
      </c>
      <c r="D7" s="18">
        <v>0</v>
      </c>
      <c r="E7" s="18">
        <v>0</v>
      </c>
      <c r="F7" s="18">
        <v>0</v>
      </c>
      <c r="G7" s="18">
        <v>0</v>
      </c>
      <c r="H7" s="18">
        <v>0</v>
      </c>
      <c r="I7" s="18">
        <v>0</v>
      </c>
      <c r="J7" s="18">
        <v>0</v>
      </c>
      <c r="K7" s="18">
        <v>0</v>
      </c>
      <c r="L7" s="18">
        <v>0</v>
      </c>
      <c r="M7" s="19">
        <f t="shared" si="0"/>
        <v>0</v>
      </c>
      <c r="N7" s="17">
        <v>0</v>
      </c>
      <c r="O7" s="18"/>
      <c r="P7" s="20"/>
      <c r="T7" s="15"/>
      <c r="U7" s="15"/>
      <c r="V7" s="15"/>
    </row>
    <row r="8" spans="1:22" x14ac:dyDescent="0.25">
      <c r="A8" s="16" t="str">
        <f>'[1]A4-FinPerf RE'!A8</f>
        <v>Service charges - sanitation revenue</v>
      </c>
      <c r="B8" s="17">
        <v>0</v>
      </c>
      <c r="C8" s="18">
        <v>0</v>
      </c>
      <c r="D8" s="18">
        <v>0</v>
      </c>
      <c r="E8" s="18">
        <v>0</v>
      </c>
      <c r="F8" s="18">
        <v>0</v>
      </c>
      <c r="G8" s="18">
        <v>0</v>
      </c>
      <c r="H8" s="18">
        <v>0</v>
      </c>
      <c r="I8" s="18">
        <v>0</v>
      </c>
      <c r="J8" s="18">
        <v>0</v>
      </c>
      <c r="K8" s="18">
        <v>0</v>
      </c>
      <c r="L8" s="18">
        <v>0</v>
      </c>
      <c r="M8" s="19">
        <f t="shared" si="0"/>
        <v>0</v>
      </c>
      <c r="N8" s="17">
        <v>0</v>
      </c>
      <c r="O8" s="18"/>
      <c r="P8" s="20"/>
      <c r="T8" s="15"/>
      <c r="U8" s="15"/>
      <c r="V8" s="15"/>
    </row>
    <row r="9" spans="1:22" x14ac:dyDescent="0.25">
      <c r="A9" s="16" t="str">
        <f>'[1]A4-FinPerf RE'!A9</f>
        <v>Service charges - refuse revenue</v>
      </c>
      <c r="B9" s="17">
        <v>1610033.1129253344</v>
      </c>
      <c r="C9" s="18">
        <v>1998621.0597185828</v>
      </c>
      <c r="D9" s="18">
        <v>2063158.3916719819</v>
      </c>
      <c r="E9" s="18">
        <v>1995152.7445383929</v>
      </c>
      <c r="F9" s="18">
        <v>2238896.2642187686</v>
      </c>
      <c r="G9" s="18">
        <v>1894061.71339264</v>
      </c>
      <c r="H9" s="18">
        <v>1819576.5605904514</v>
      </c>
      <c r="I9" s="18">
        <v>1786826.8579062591</v>
      </c>
      <c r="J9" s="18">
        <v>1805949.5650969043</v>
      </c>
      <c r="K9" s="18">
        <v>2093495.2635392228</v>
      </c>
      <c r="L9" s="18">
        <v>1843425.8001279056</v>
      </c>
      <c r="M9" s="19">
        <f t="shared" si="0"/>
        <v>2100271.6662735566</v>
      </c>
      <c r="N9" s="17">
        <v>23249469</v>
      </c>
      <c r="O9" s="18">
        <v>24621187.247400001</v>
      </c>
      <c r="P9" s="20">
        <v>26049216.107749201</v>
      </c>
      <c r="T9" s="15"/>
      <c r="U9" s="15"/>
      <c r="V9" s="15"/>
    </row>
    <row r="10" spans="1:22" x14ac:dyDescent="0.25">
      <c r="A10" s="16" t="str">
        <f>'[1]A4-FinPerf RE'!A10</f>
        <v>Service charges - other</v>
      </c>
      <c r="B10" s="17">
        <v>219723.57780256553</v>
      </c>
      <c r="C10" s="18">
        <v>218871.62683941826</v>
      </c>
      <c r="D10" s="18">
        <v>201309.31185379036</v>
      </c>
      <c r="E10" s="18">
        <v>201095.52640610922</v>
      </c>
      <c r="F10" s="18">
        <v>192272.88815478998</v>
      </c>
      <c r="G10" s="18">
        <v>196979.3588313527</v>
      </c>
      <c r="H10" s="18">
        <v>197292.0599339311</v>
      </c>
      <c r="I10" s="18">
        <v>203266.35276788651</v>
      </c>
      <c r="J10" s="18">
        <v>272494.54788565217</v>
      </c>
      <c r="K10" s="18">
        <v>202049.58385173109</v>
      </c>
      <c r="L10" s="18">
        <v>229739.58556780641</v>
      </c>
      <c r="M10" s="19">
        <f t="shared" si="0"/>
        <v>342405.58010496665</v>
      </c>
      <c r="N10" s="17">
        <v>2677500</v>
      </c>
      <c r="O10" s="18">
        <v>2835472.5</v>
      </c>
      <c r="P10" s="20">
        <v>2999929.9049999998</v>
      </c>
      <c r="T10" s="15"/>
      <c r="U10" s="15"/>
      <c r="V10" s="15"/>
    </row>
    <row r="11" spans="1:22" x14ac:dyDescent="0.25">
      <c r="A11" s="16" t="str">
        <f>'[1]A4-FinPerf RE'!A11</f>
        <v>Rental of facilities and equipment</v>
      </c>
      <c r="B11" s="17">
        <v>89026.721773519457</v>
      </c>
      <c r="C11" s="18">
        <v>90005.175246583356</v>
      </c>
      <c r="D11" s="18">
        <v>85551.957516613038</v>
      </c>
      <c r="E11" s="18">
        <v>86623.238626865044</v>
      </c>
      <c r="F11" s="18">
        <v>90118.073724244576</v>
      </c>
      <c r="G11" s="18">
        <v>86605.676641451078</v>
      </c>
      <c r="H11" s="18">
        <v>87985.546923977105</v>
      </c>
      <c r="I11" s="18">
        <v>83444.519266936943</v>
      </c>
      <c r="J11" s="18">
        <v>87671.940041584821</v>
      </c>
      <c r="K11" s="18">
        <v>83444.519266936943</v>
      </c>
      <c r="L11" s="18">
        <v>87283.067507418396</v>
      </c>
      <c r="M11" s="19">
        <f t="shared" si="0"/>
        <v>2709.5634638692718</v>
      </c>
      <c r="N11" s="17">
        <v>960470</v>
      </c>
      <c r="O11" s="18">
        <v>1235095.8149999999</v>
      </c>
      <c r="P11" s="20">
        <v>1306731.3722699999</v>
      </c>
      <c r="T11" s="15"/>
      <c r="U11" s="15"/>
      <c r="V11" s="15"/>
    </row>
    <row r="12" spans="1:22" x14ac:dyDescent="0.25">
      <c r="A12" s="16" t="str">
        <f>'[1]A4-FinPerf RE'!A12</f>
        <v>Interest earned - external investments</v>
      </c>
      <c r="B12" s="17">
        <v>0</v>
      </c>
      <c r="C12" s="18">
        <v>0</v>
      </c>
      <c r="D12" s="18">
        <v>0</v>
      </c>
      <c r="E12" s="18">
        <v>0</v>
      </c>
      <c r="F12" s="18">
        <v>577494.05168364046</v>
      </c>
      <c r="G12" s="18">
        <v>70980.286024495741</v>
      </c>
      <c r="H12" s="18">
        <v>157862.95736956949</v>
      </c>
      <c r="I12" s="18">
        <v>102009.71038154855</v>
      </c>
      <c r="J12" s="18">
        <v>91925.96150831836</v>
      </c>
      <c r="K12" s="18">
        <v>923049.98717929865</v>
      </c>
      <c r="L12" s="18">
        <v>35646.108895933881</v>
      </c>
      <c r="M12" s="19">
        <f t="shared" si="0"/>
        <v>491730.93695719494</v>
      </c>
      <c r="N12" s="17">
        <v>2450700</v>
      </c>
      <c r="O12" s="18">
        <v>2595291.2999999998</v>
      </c>
      <c r="P12" s="20">
        <v>2745818.1954000001</v>
      </c>
      <c r="T12" s="15"/>
      <c r="U12" s="15"/>
      <c r="V12" s="15"/>
    </row>
    <row r="13" spans="1:22" x14ac:dyDescent="0.25">
      <c r="A13" s="16" t="str">
        <f>'[1]A4-FinPerf RE'!A13</f>
        <v>Interest earned - outstanding debtors</v>
      </c>
      <c r="B13" s="17">
        <v>713973.07134908601</v>
      </c>
      <c r="C13" s="18">
        <v>742376.64636694407</v>
      </c>
      <c r="D13" s="18">
        <v>711823.00300584827</v>
      </c>
      <c r="E13" s="18">
        <v>797517.26208065986</v>
      </c>
      <c r="F13" s="18">
        <v>780688.42729366804</v>
      </c>
      <c r="G13" s="18">
        <v>779948.85930903209</v>
      </c>
      <c r="H13" s="18">
        <v>800397.64416889264</v>
      </c>
      <c r="I13" s="18">
        <v>762938.79566240567</v>
      </c>
      <c r="J13" s="18">
        <v>806433.72197467508</v>
      </c>
      <c r="K13" s="18">
        <v>836317.97533507855</v>
      </c>
      <c r="L13" s="18">
        <v>669837.28894168371</v>
      </c>
      <c r="M13" s="19">
        <f t="shared" si="0"/>
        <v>697747.30451202579</v>
      </c>
      <c r="N13" s="17">
        <v>9100000</v>
      </c>
      <c r="O13" s="18">
        <v>9636900</v>
      </c>
      <c r="P13" s="20">
        <v>10195840.199999999</v>
      </c>
      <c r="T13" s="15"/>
      <c r="U13" s="15"/>
      <c r="V13" s="15"/>
    </row>
    <row r="14" spans="1:22" x14ac:dyDescent="0.25">
      <c r="A14" s="16" t="str">
        <f>'[1]A4-FinPerf RE'!A14</f>
        <v>Dividends received</v>
      </c>
      <c r="B14" s="17">
        <v>0</v>
      </c>
      <c r="C14" s="18">
        <v>0</v>
      </c>
      <c r="D14" s="18">
        <v>0</v>
      </c>
      <c r="E14" s="18">
        <v>0</v>
      </c>
      <c r="F14" s="18">
        <v>0</v>
      </c>
      <c r="G14" s="18">
        <v>0</v>
      </c>
      <c r="H14" s="18">
        <v>0</v>
      </c>
      <c r="I14" s="18">
        <v>0</v>
      </c>
      <c r="J14" s="18">
        <v>0</v>
      </c>
      <c r="K14" s="18">
        <v>0</v>
      </c>
      <c r="L14" s="18">
        <v>0</v>
      </c>
      <c r="M14" s="19">
        <f t="shared" si="0"/>
        <v>0</v>
      </c>
      <c r="N14" s="17"/>
      <c r="O14" s="18"/>
      <c r="P14" s="20"/>
      <c r="T14" s="15"/>
      <c r="U14" s="15"/>
      <c r="V14" s="15"/>
    </row>
    <row r="15" spans="1:22" x14ac:dyDescent="0.25">
      <c r="A15" s="16" t="str">
        <f>'[1]A4-FinPerf RE'!A15</f>
        <v>Fines, penalties and forfeits</v>
      </c>
      <c r="B15" s="17">
        <v>246224.10928979621</v>
      </c>
      <c r="C15" s="18">
        <v>282913.22358872759</v>
      </c>
      <c r="D15" s="18">
        <v>390750.94738539035</v>
      </c>
      <c r="E15" s="18">
        <v>300886.97756169131</v>
      </c>
      <c r="F15" s="18">
        <v>256461.39698797715</v>
      </c>
      <c r="G15" s="18">
        <v>622433.33210285543</v>
      </c>
      <c r="H15" s="18">
        <v>258061.01069113915</v>
      </c>
      <c r="I15" s="18">
        <v>194088.4626674579</v>
      </c>
      <c r="J15" s="18">
        <v>384416.09311757918</v>
      </c>
      <c r="K15" s="18">
        <v>433010.50940381014</v>
      </c>
      <c r="L15" s="18">
        <v>240662.06164226739</v>
      </c>
      <c r="M15" s="19">
        <f t="shared" si="0"/>
        <v>242286.87556130858</v>
      </c>
      <c r="N15" s="17">
        <v>3852195</v>
      </c>
      <c r="O15" s="18">
        <v>4079474.7168000001</v>
      </c>
      <c r="P15" s="20">
        <v>4316084.2503744001</v>
      </c>
      <c r="T15" s="15"/>
      <c r="U15" s="15"/>
      <c r="V15" s="15"/>
    </row>
    <row r="16" spans="1:22" x14ac:dyDescent="0.25">
      <c r="A16" s="16" t="str">
        <f>'[1]A4-FinPerf RE'!A16</f>
        <v>Licences and permits</v>
      </c>
      <c r="B16" s="17">
        <v>42259.760042647787</v>
      </c>
      <c r="C16" s="18">
        <v>41200.423812511552</v>
      </c>
      <c r="D16" s="18">
        <v>30563.877255511361</v>
      </c>
      <c r="E16" s="18">
        <v>70824.849619405344</v>
      </c>
      <c r="F16" s="18">
        <v>33184.015867986425</v>
      </c>
      <c r="G16" s="18">
        <v>15192.846864440811</v>
      </c>
      <c r="H16" s="18">
        <v>29648.194773721385</v>
      </c>
      <c r="I16" s="18">
        <v>35149.340155177611</v>
      </c>
      <c r="J16" s="18">
        <v>36221.014744067514</v>
      </c>
      <c r="K16" s="18">
        <v>44316.740709151927</v>
      </c>
      <c r="L16" s="18">
        <v>49422.17729915127</v>
      </c>
      <c r="M16" s="19">
        <f t="shared" si="0"/>
        <v>62716.758856226981</v>
      </c>
      <c r="N16" s="17">
        <v>490700</v>
      </c>
      <c r="O16" s="18">
        <v>519651.3</v>
      </c>
      <c r="P16" s="20">
        <v>549791.07539999997</v>
      </c>
      <c r="T16" s="15"/>
      <c r="U16" s="15"/>
      <c r="V16" s="15"/>
    </row>
    <row r="17" spans="1:23" x14ac:dyDescent="0.25">
      <c r="A17" s="16" t="str">
        <f>'[1]A4-FinPerf RE'!A17</f>
        <v>Agency services</v>
      </c>
      <c r="B17" s="17">
        <v>2801098.3766738372</v>
      </c>
      <c r="C17" s="18">
        <v>2511695.9420126933</v>
      </c>
      <c r="D17" s="18">
        <v>3565130.6545400792</v>
      </c>
      <c r="E17" s="18">
        <v>2952146.3326780903</v>
      </c>
      <c r="F17" s="18">
        <v>2709713.0838470296</v>
      </c>
      <c r="G17" s="18">
        <v>2486416.7355602467</v>
      </c>
      <c r="H17" s="18">
        <v>3066496.1918781986</v>
      </c>
      <c r="I17" s="18">
        <v>3187397.1590241324</v>
      </c>
      <c r="J17" s="18">
        <v>2208348.1524691358</v>
      </c>
      <c r="K17" s="18">
        <v>3412158.2799964598</v>
      </c>
      <c r="L17" s="18">
        <v>3412158.2799964598</v>
      </c>
      <c r="M17" s="19">
        <f t="shared" si="0"/>
        <v>2872243.8113236427</v>
      </c>
      <c r="N17" s="17">
        <v>35185003</v>
      </c>
      <c r="O17" s="18">
        <v>37260918.918300003</v>
      </c>
      <c r="P17" s="20">
        <v>39422052.215561397</v>
      </c>
      <c r="T17" s="15"/>
      <c r="U17" s="15"/>
      <c r="V17" s="15"/>
    </row>
    <row r="18" spans="1:23" x14ac:dyDescent="0.25">
      <c r="A18" s="23" t="s">
        <v>16</v>
      </c>
      <c r="B18" s="17">
        <v>134327142.82157931</v>
      </c>
      <c r="C18" s="18">
        <v>2865683.4787721913</v>
      </c>
      <c r="D18" s="18">
        <v>479463.38859279006</v>
      </c>
      <c r="E18" s="18">
        <v>1075954.3113482976</v>
      </c>
      <c r="F18" s="18">
        <v>106751468.0887533</v>
      </c>
      <c r="G18" s="18">
        <v>397138.24275226967</v>
      </c>
      <c r="H18" s="18">
        <v>269109.59683826525</v>
      </c>
      <c r="I18" s="18">
        <v>1020644.9499472904</v>
      </c>
      <c r="J18" s="18">
        <v>101650495.12141624</v>
      </c>
      <c r="K18" s="18">
        <v>0</v>
      </c>
      <c r="L18" s="18">
        <v>0</v>
      </c>
      <c r="M18" s="19">
        <f t="shared" si="0"/>
        <v>0</v>
      </c>
      <c r="N18" s="17">
        <v>348837100</v>
      </c>
      <c r="O18" s="18">
        <v>358667000</v>
      </c>
      <c r="P18" s="20">
        <v>381227450</v>
      </c>
      <c r="T18" s="15"/>
      <c r="U18" s="15"/>
      <c r="V18" s="15"/>
    </row>
    <row r="19" spans="1:23" x14ac:dyDescent="0.25">
      <c r="A19" s="16" t="str">
        <f>'[1]A4-FinPerf RE'!A19</f>
        <v>Other revenue</v>
      </c>
      <c r="B19" s="17">
        <v>401186.73296856513</v>
      </c>
      <c r="C19" s="18">
        <v>132052.96816911909</v>
      </c>
      <c r="D19" s="18">
        <v>342581.40448016219</v>
      </c>
      <c r="E19" s="18">
        <v>292394.59973375325</v>
      </c>
      <c r="F19" s="18">
        <v>569398.00908117671</v>
      </c>
      <c r="G19" s="18">
        <v>137554.82866152303</v>
      </c>
      <c r="H19" s="18">
        <v>520154.51619634603</v>
      </c>
      <c r="I19" s="18">
        <v>310657.3074619401</v>
      </c>
      <c r="J19" s="18">
        <v>130803.13935503813</v>
      </c>
      <c r="K19" s="18">
        <v>136152.92942139419</v>
      </c>
      <c r="L19" s="18">
        <v>187803.41201851389</v>
      </c>
      <c r="M19" s="19">
        <f t="shared" si="0"/>
        <v>4003792.1524524679</v>
      </c>
      <c r="N19" s="17">
        <v>7164532</v>
      </c>
      <c r="O19" s="18">
        <v>7587239.5998</v>
      </c>
      <c r="P19" s="20">
        <v>8027299.4965883996</v>
      </c>
      <c r="T19" s="15"/>
      <c r="U19" s="15"/>
      <c r="V19" s="15"/>
    </row>
    <row r="20" spans="1:23" x14ac:dyDescent="0.25">
      <c r="A20" s="24" t="s">
        <v>17</v>
      </c>
      <c r="B20" s="25">
        <f t="shared" ref="B20:P20" si="1">SUM(B5:B19)</f>
        <v>178781749.79218242</v>
      </c>
      <c r="C20" s="26">
        <f t="shared" si="1"/>
        <v>48598978.53409683</v>
      </c>
      <c r="D20" s="26">
        <f t="shared" si="1"/>
        <v>53522337.020162202</v>
      </c>
      <c r="E20" s="26">
        <f t="shared" si="1"/>
        <v>55590358.087116644</v>
      </c>
      <c r="F20" s="26">
        <f t="shared" si="1"/>
        <v>164907218.52764368</v>
      </c>
      <c r="G20" s="26">
        <f t="shared" si="1"/>
        <v>47879578.453922659</v>
      </c>
      <c r="H20" s="26">
        <f t="shared" si="1"/>
        <v>50693534.476935841</v>
      </c>
      <c r="I20" s="26">
        <f t="shared" si="1"/>
        <v>52135504.774074927</v>
      </c>
      <c r="J20" s="26">
        <f t="shared" si="1"/>
        <v>150168322.58140424</v>
      </c>
      <c r="K20" s="26">
        <f t="shared" si="1"/>
        <v>47812458.620651118</v>
      </c>
      <c r="L20" s="26">
        <f t="shared" si="1"/>
        <v>56953290.415346548</v>
      </c>
      <c r="M20" s="27">
        <f t="shared" si="1"/>
        <v>55737807.716462828</v>
      </c>
      <c r="N20" s="25">
        <f t="shared" si="1"/>
        <v>962781139</v>
      </c>
      <c r="O20" s="26">
        <f t="shared" si="1"/>
        <v>1009051696.1273</v>
      </c>
      <c r="P20" s="28">
        <f t="shared" si="1"/>
        <v>1069334458.5026834</v>
      </c>
      <c r="Q20" s="15"/>
      <c r="R20" s="15"/>
      <c r="S20" s="15"/>
      <c r="T20" s="15"/>
      <c r="U20" s="15"/>
      <c r="V20" s="15"/>
      <c r="W20" s="15"/>
    </row>
    <row r="21" spans="1:23" ht="5.0999999999999996" customHeight="1" x14ac:dyDescent="0.25">
      <c r="A21" s="29"/>
      <c r="B21" s="30"/>
      <c r="C21" s="31"/>
      <c r="D21" s="31"/>
      <c r="E21" s="31"/>
      <c r="F21" s="31"/>
      <c r="G21" s="31"/>
      <c r="H21" s="31"/>
      <c r="I21" s="31"/>
      <c r="J21" s="31"/>
      <c r="K21" s="31"/>
      <c r="L21" s="31"/>
      <c r="M21" s="32"/>
      <c r="N21" s="30"/>
      <c r="O21" s="31"/>
      <c r="P21" s="33"/>
      <c r="Q21" s="15"/>
      <c r="R21" s="15"/>
      <c r="S21" s="15"/>
      <c r="T21" s="15"/>
      <c r="U21" s="15"/>
      <c r="V21" s="15"/>
      <c r="W21" s="15"/>
    </row>
    <row r="22" spans="1:23" ht="11.25" customHeight="1" x14ac:dyDescent="0.25">
      <c r="A22" s="34" t="s">
        <v>18</v>
      </c>
      <c r="B22" s="30"/>
      <c r="C22" s="31"/>
      <c r="D22" s="31"/>
      <c r="E22" s="31"/>
      <c r="F22" s="31"/>
      <c r="G22" s="31"/>
      <c r="H22" s="31"/>
      <c r="I22" s="31"/>
      <c r="J22" s="31"/>
      <c r="K22" s="31"/>
      <c r="L22" s="31"/>
      <c r="M22" s="32"/>
      <c r="N22" s="30"/>
      <c r="O22" s="31"/>
      <c r="P22" s="33"/>
      <c r="Q22" s="15"/>
      <c r="R22" s="15"/>
      <c r="S22" s="15"/>
      <c r="T22" s="15"/>
      <c r="U22" s="15"/>
      <c r="V22" s="15"/>
      <c r="W22" s="15"/>
    </row>
    <row r="23" spans="1:23" ht="11.25" customHeight="1" x14ac:dyDescent="0.25">
      <c r="A23" s="35" t="s">
        <v>19</v>
      </c>
      <c r="B23" s="17">
        <v>27240360.964899447</v>
      </c>
      <c r="C23" s="18">
        <v>938735.6136336159</v>
      </c>
      <c r="D23" s="18">
        <v>2489325.9659158434</v>
      </c>
      <c r="E23" s="18">
        <v>402315.26298583538</v>
      </c>
      <c r="F23" s="18">
        <v>31867525.991547581</v>
      </c>
      <c r="G23" s="18">
        <v>335262.7191548628</v>
      </c>
      <c r="H23" s="18">
        <v>335262.7191548628</v>
      </c>
      <c r="I23" s="18">
        <v>6818680.3332281485</v>
      </c>
      <c r="J23" s="18">
        <v>20717430.4294798</v>
      </c>
      <c r="K23" s="18"/>
      <c r="L23" s="18"/>
      <c r="M23" s="32">
        <f t="shared" ref="M23:M31" si="2">N23-SUM(B23:L23)</f>
        <v>0</v>
      </c>
      <c r="N23" s="17">
        <v>91144900</v>
      </c>
      <c r="O23" s="18">
        <v>96501000</v>
      </c>
      <c r="P23" s="20">
        <v>102152550</v>
      </c>
      <c r="Q23" s="15"/>
      <c r="R23" s="15"/>
      <c r="S23" s="15"/>
      <c r="T23" s="15"/>
      <c r="U23" s="15"/>
      <c r="V23" s="15"/>
      <c r="W23" s="15"/>
    </row>
    <row r="24" spans="1:23" ht="79.5" customHeight="1" x14ac:dyDescent="0.25">
      <c r="A24" s="36"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7"/>
      <c r="C24" s="18"/>
      <c r="D24" s="18"/>
      <c r="E24" s="18"/>
      <c r="F24" s="18"/>
      <c r="G24" s="18"/>
      <c r="H24" s="18"/>
      <c r="I24" s="18"/>
      <c r="J24" s="18"/>
      <c r="K24" s="18"/>
      <c r="L24" s="18"/>
      <c r="M24" s="32">
        <f t="shared" si="2"/>
        <v>0</v>
      </c>
      <c r="N24" s="17"/>
      <c r="O24" s="18"/>
      <c r="P24" s="20"/>
      <c r="Q24" s="15"/>
      <c r="R24" s="15"/>
      <c r="S24" s="15"/>
      <c r="T24" s="15"/>
      <c r="U24" s="15"/>
      <c r="V24" s="15"/>
      <c r="W24" s="15"/>
    </row>
    <row r="25" spans="1:23" ht="11.25" customHeight="1" x14ac:dyDescent="0.25">
      <c r="A25" s="37" t="str">
        <f>'[1]A7-CFlow'!A21</f>
        <v>Proceeds on disposal of PPE</v>
      </c>
      <c r="B25" s="17"/>
      <c r="C25" s="18"/>
      <c r="D25" s="18"/>
      <c r="E25" s="18"/>
      <c r="F25" s="18"/>
      <c r="G25" s="18"/>
      <c r="H25" s="18"/>
      <c r="I25" s="18"/>
      <c r="J25" s="18"/>
      <c r="K25" s="18"/>
      <c r="L25" s="18"/>
      <c r="M25" s="32">
        <f t="shared" si="2"/>
        <v>2200000</v>
      </c>
      <c r="N25" s="17">
        <v>2200000</v>
      </c>
      <c r="O25" s="18">
        <v>2329800</v>
      </c>
      <c r="P25" s="20">
        <v>2464928.4</v>
      </c>
      <c r="Q25" s="15"/>
      <c r="R25" s="15"/>
      <c r="S25" s="15"/>
      <c r="T25" s="15"/>
      <c r="U25" s="15"/>
      <c r="V25" s="15"/>
      <c r="W25" s="15"/>
    </row>
    <row r="26" spans="1:23" ht="11.25" customHeight="1" x14ac:dyDescent="0.25">
      <c r="A26" s="37" t="str">
        <f>'[1]A7-CFlow'!A31</f>
        <v>Short term loans</v>
      </c>
      <c r="B26" s="17"/>
      <c r="C26" s="18"/>
      <c r="D26" s="18"/>
      <c r="E26" s="18"/>
      <c r="F26" s="18"/>
      <c r="G26" s="18"/>
      <c r="H26" s="18"/>
      <c r="I26" s="18"/>
      <c r="J26" s="18"/>
      <c r="K26" s="18"/>
      <c r="L26" s="18"/>
      <c r="M26" s="32">
        <f t="shared" si="2"/>
        <v>0</v>
      </c>
      <c r="N26" s="17"/>
      <c r="O26" s="18"/>
      <c r="P26" s="20"/>
      <c r="Q26" s="15"/>
      <c r="R26" s="15"/>
      <c r="S26" s="15"/>
      <c r="T26" s="15"/>
      <c r="U26" s="15"/>
      <c r="V26" s="15"/>
      <c r="W26" s="15"/>
    </row>
    <row r="27" spans="1:23" ht="11.25" customHeight="1" x14ac:dyDescent="0.25">
      <c r="A27" s="37" t="str">
        <f>'[1]A7-CFlow'!A32</f>
        <v>Borrowing long term/refinancing</v>
      </c>
      <c r="B27" s="17">
        <v>0</v>
      </c>
      <c r="C27" s="18">
        <v>0</v>
      </c>
      <c r="D27" s="18">
        <v>0</v>
      </c>
      <c r="E27" s="18">
        <v>0</v>
      </c>
      <c r="F27" s="18">
        <v>0</v>
      </c>
      <c r="G27" s="18">
        <v>0</v>
      </c>
      <c r="H27" s="18">
        <v>34744614</v>
      </c>
      <c r="I27" s="18">
        <v>0</v>
      </c>
      <c r="J27" s="18">
        <v>0</v>
      </c>
      <c r="K27" s="18">
        <v>0</v>
      </c>
      <c r="L27" s="18">
        <v>0</v>
      </c>
      <c r="M27" s="32">
        <f t="shared" si="2"/>
        <v>174</v>
      </c>
      <c r="N27" s="17">
        <f>34490788+254000</f>
        <v>34744788</v>
      </c>
      <c r="O27" s="18">
        <v>30000000</v>
      </c>
      <c r="P27" s="20">
        <v>30000000</v>
      </c>
      <c r="Q27" s="15"/>
      <c r="R27" s="15"/>
      <c r="S27" s="15"/>
      <c r="T27" s="15"/>
      <c r="U27" s="15"/>
      <c r="V27" s="15"/>
      <c r="W27" s="15"/>
    </row>
    <row r="28" spans="1:23" ht="11.25" customHeight="1" x14ac:dyDescent="0.25">
      <c r="A28" s="37" t="str">
        <f>'[1]A7-CFlow'!A33</f>
        <v>Increase (decrease) in consumer deposits</v>
      </c>
      <c r="B28" s="17">
        <v>233881.63409772544</v>
      </c>
      <c r="C28" s="18">
        <v>186145.93617853618</v>
      </c>
      <c r="D28" s="18">
        <v>352079.87928689853</v>
      </c>
      <c r="E28" s="18">
        <v>276634.19086827739</v>
      </c>
      <c r="F28" s="18">
        <v>125882.52826884745</v>
      </c>
      <c r="G28" s="18">
        <v>167237.94266127681</v>
      </c>
      <c r="H28" s="18">
        <v>347981.59497773886</v>
      </c>
      <c r="I28" s="18">
        <v>167843.37102512995</v>
      </c>
      <c r="J28" s="18">
        <v>159926.23088243513</v>
      </c>
      <c r="K28" s="18">
        <v>178228.79603584137</v>
      </c>
      <c r="L28" s="18">
        <v>160811.08772191277</v>
      </c>
      <c r="M28" s="32">
        <f t="shared" si="2"/>
        <v>643346.80799538037</v>
      </c>
      <c r="N28" s="17">
        <v>3000000</v>
      </c>
      <c r="O28" s="18">
        <f>3000000*106/100</f>
        <v>3180000</v>
      </c>
      <c r="P28" s="20">
        <f>O28*106/100</f>
        <v>3370800</v>
      </c>
      <c r="Q28" s="15"/>
      <c r="R28" s="15"/>
      <c r="S28" s="15"/>
      <c r="T28" s="15"/>
      <c r="U28" s="15"/>
      <c r="V28" s="15"/>
      <c r="W28" s="15"/>
    </row>
    <row r="29" spans="1:23" ht="11.25" customHeight="1" x14ac:dyDescent="0.25">
      <c r="A29" s="37" t="str">
        <f>'[1]A7-CFlow'!A22</f>
        <v>Decrease (Increase) in non-current debtors</v>
      </c>
      <c r="B29" s="17"/>
      <c r="C29" s="18"/>
      <c r="D29" s="18"/>
      <c r="E29" s="18"/>
      <c r="F29" s="18"/>
      <c r="G29" s="18"/>
      <c r="H29" s="18"/>
      <c r="I29" s="18"/>
      <c r="J29" s="18"/>
      <c r="K29" s="18"/>
      <c r="L29" s="18"/>
      <c r="M29" s="32">
        <f t="shared" si="2"/>
        <v>0</v>
      </c>
      <c r="N29" s="17"/>
      <c r="O29" s="18"/>
      <c r="P29" s="20"/>
      <c r="Q29" s="15"/>
      <c r="R29" s="15"/>
      <c r="S29" s="15"/>
      <c r="T29" s="15"/>
      <c r="U29" s="15"/>
      <c r="V29" s="15"/>
      <c r="W29" s="15"/>
    </row>
    <row r="30" spans="1:23" ht="11.25" customHeight="1" x14ac:dyDescent="0.25">
      <c r="A30" s="37" t="str">
        <f>'[1]A7-CFlow'!A23</f>
        <v>Decrease (increase) other non-current receivables</v>
      </c>
      <c r="B30" s="17"/>
      <c r="C30" s="18"/>
      <c r="D30" s="18"/>
      <c r="E30" s="18"/>
      <c r="F30" s="18"/>
      <c r="G30" s="18"/>
      <c r="H30" s="18"/>
      <c r="I30" s="18"/>
      <c r="J30" s="18"/>
      <c r="K30" s="18"/>
      <c r="L30" s="18"/>
      <c r="M30" s="32">
        <f t="shared" si="2"/>
        <v>0</v>
      </c>
      <c r="N30" s="17"/>
      <c r="O30" s="18"/>
      <c r="P30" s="20"/>
      <c r="Q30" s="15"/>
      <c r="R30" s="15"/>
      <c r="S30" s="15"/>
      <c r="T30" s="15"/>
      <c r="U30" s="15"/>
      <c r="V30" s="15"/>
      <c r="W30" s="15"/>
    </row>
    <row r="31" spans="1:23" ht="11.25" customHeight="1" x14ac:dyDescent="0.25">
      <c r="A31" s="37" t="str">
        <f>'[1]A7-CFlow'!A24</f>
        <v>Decrease (increase) in non-current investments</v>
      </c>
      <c r="B31" s="17">
        <v>-855619</v>
      </c>
      <c r="C31" s="18">
        <v>0</v>
      </c>
      <c r="D31" s="18">
        <v>0</v>
      </c>
      <c r="E31" s="18">
        <v>0</v>
      </c>
      <c r="F31" s="18">
        <v>0</v>
      </c>
      <c r="G31" s="18">
        <v>0</v>
      </c>
      <c r="H31" s="18">
        <v>0</v>
      </c>
      <c r="I31" s="18">
        <v>0</v>
      </c>
      <c r="J31" s="18">
        <v>0</v>
      </c>
      <c r="K31" s="18">
        <v>0</v>
      </c>
      <c r="L31" s="18">
        <v>0</v>
      </c>
      <c r="M31" s="32">
        <f t="shared" si="2"/>
        <v>-64381</v>
      </c>
      <c r="N31" s="17">
        <v>-920000</v>
      </c>
      <c r="O31" s="18">
        <v>-910963</v>
      </c>
      <c r="P31" s="20">
        <v>-8780709</v>
      </c>
      <c r="Q31" s="15"/>
      <c r="R31" s="15"/>
      <c r="S31" s="15"/>
      <c r="T31" s="15"/>
      <c r="U31" s="15"/>
      <c r="V31" s="15"/>
      <c r="W31" s="15"/>
    </row>
    <row r="32" spans="1:23" ht="11.25" customHeight="1" x14ac:dyDescent="0.25">
      <c r="A32" s="38" t="s">
        <v>20</v>
      </c>
      <c r="B32" s="39">
        <f t="shared" ref="B32:P32" si="3">SUM(B20:B31)</f>
        <v>205400373.39117959</v>
      </c>
      <c r="C32" s="40">
        <f t="shared" si="3"/>
        <v>49723860.083908983</v>
      </c>
      <c r="D32" s="40">
        <f t="shared" si="3"/>
        <v>56363742.865364946</v>
      </c>
      <c r="E32" s="40">
        <f t="shared" si="3"/>
        <v>56269307.540970758</v>
      </c>
      <c r="F32" s="40">
        <f t="shared" si="3"/>
        <v>196900627.04746011</v>
      </c>
      <c r="G32" s="40">
        <f t="shared" si="3"/>
        <v>48382079.115738802</v>
      </c>
      <c r="H32" s="40">
        <f t="shared" si="3"/>
        <v>86121392.791068435</v>
      </c>
      <c r="I32" s="40">
        <f t="shared" si="3"/>
        <v>59122028.478328206</v>
      </c>
      <c r="J32" s="40">
        <f t="shared" si="3"/>
        <v>171045679.24176648</v>
      </c>
      <c r="K32" s="40">
        <f t="shared" si="3"/>
        <v>47990687.41668696</v>
      </c>
      <c r="L32" s="40">
        <f t="shared" si="3"/>
        <v>57114101.503068462</v>
      </c>
      <c r="M32" s="41">
        <f t="shared" si="3"/>
        <v>58516947.524458207</v>
      </c>
      <c r="N32" s="39">
        <f t="shared" si="3"/>
        <v>1092950827</v>
      </c>
      <c r="O32" s="40">
        <f t="shared" si="3"/>
        <v>1140151533.1273</v>
      </c>
      <c r="P32" s="42">
        <f t="shared" si="3"/>
        <v>1198542027.9026835</v>
      </c>
      <c r="Q32" s="15"/>
      <c r="R32" s="15"/>
      <c r="S32" s="15"/>
      <c r="T32" s="15"/>
      <c r="U32" s="15"/>
      <c r="V32" s="15"/>
      <c r="W32" s="15"/>
    </row>
    <row r="33" spans="1:23" ht="5.0999999999999996" customHeight="1" x14ac:dyDescent="0.25">
      <c r="A33" s="43"/>
      <c r="B33" s="30"/>
      <c r="C33" s="31"/>
      <c r="D33" s="31"/>
      <c r="E33" s="31"/>
      <c r="F33" s="31"/>
      <c r="G33" s="31"/>
      <c r="H33" s="31"/>
      <c r="I33" s="31"/>
      <c r="J33" s="31"/>
      <c r="K33" s="31"/>
      <c r="L33" s="31"/>
      <c r="M33" s="32"/>
      <c r="N33" s="30"/>
      <c r="O33" s="31"/>
      <c r="P33" s="33"/>
      <c r="Q33" s="15"/>
      <c r="R33" s="15"/>
      <c r="S33" s="15"/>
      <c r="T33" s="15"/>
      <c r="U33" s="15"/>
      <c r="V33" s="15"/>
      <c r="W33" s="15"/>
    </row>
    <row r="34" spans="1:23" x14ac:dyDescent="0.25">
      <c r="A34" s="44" t="s">
        <v>21</v>
      </c>
      <c r="B34" s="30"/>
      <c r="C34" s="31"/>
      <c r="D34" s="31"/>
      <c r="E34" s="31"/>
      <c r="F34" s="31"/>
      <c r="G34" s="31"/>
      <c r="H34" s="31"/>
      <c r="I34" s="31"/>
      <c r="J34" s="31"/>
      <c r="K34" s="31"/>
      <c r="L34" s="31"/>
      <c r="M34" s="32"/>
      <c r="N34" s="45"/>
      <c r="O34" s="31"/>
      <c r="P34" s="33"/>
      <c r="Q34" s="15"/>
      <c r="R34" s="15"/>
      <c r="S34" s="15"/>
      <c r="T34" s="15"/>
      <c r="U34" s="15"/>
      <c r="V34" s="15"/>
      <c r="W34" s="15"/>
    </row>
    <row r="35" spans="1:23" x14ac:dyDescent="0.25">
      <c r="A35" s="37" t="s">
        <v>22</v>
      </c>
      <c r="B35" s="17">
        <v>27194012.997733381</v>
      </c>
      <c r="C35" s="18">
        <v>23896848.097748142</v>
      </c>
      <c r="D35" s="18">
        <v>25388233.174486298</v>
      </c>
      <c r="E35" s="18">
        <v>27848765.091201443</v>
      </c>
      <c r="F35" s="18">
        <v>24828142.20772969</v>
      </c>
      <c r="G35" s="18">
        <v>26035821.633706775</v>
      </c>
      <c r="H35" s="18">
        <v>29628286.748793706</v>
      </c>
      <c r="I35" s="18">
        <v>25974563.197078463</v>
      </c>
      <c r="J35" s="18">
        <v>25199614.16241226</v>
      </c>
      <c r="K35" s="18">
        <v>25916069.314303476</v>
      </c>
      <c r="L35" s="18">
        <v>25232407.886254895</v>
      </c>
      <c r="M35" s="32">
        <f t="shared" ref="M35:M44" si="4">N35-SUM(B35:L35)</f>
        <v>27959324.313551426</v>
      </c>
      <c r="N35" s="17">
        <v>315102088.82499999</v>
      </c>
      <c r="O35" s="18">
        <v>333693112.06567508</v>
      </c>
      <c r="P35" s="20">
        <v>353047312.56548405</v>
      </c>
      <c r="Q35" s="15"/>
      <c r="R35" s="15"/>
      <c r="S35" s="15"/>
      <c r="T35" s="15"/>
      <c r="U35" s="15"/>
      <c r="V35" s="15"/>
      <c r="W35" s="15"/>
    </row>
    <row r="36" spans="1:23" x14ac:dyDescent="0.25">
      <c r="A36" s="37" t="s">
        <v>23</v>
      </c>
      <c r="B36" s="17">
        <v>2001296.3677902957</v>
      </c>
      <c r="C36" s="18">
        <v>2000380.3033415433</v>
      </c>
      <c r="D36" s="18">
        <v>2008819.7331301249</v>
      </c>
      <c r="E36" s="18">
        <v>1998595.5337582277</v>
      </c>
      <c r="F36" s="18">
        <v>1997748.4785958657</v>
      </c>
      <c r="G36" s="18">
        <v>2000025.7850467528</v>
      </c>
      <c r="H36" s="18">
        <v>1997483.2664364041</v>
      </c>
      <c r="I36" s="18">
        <v>2145110.5580836991</v>
      </c>
      <c r="J36" s="18">
        <v>2112134.0767640513</v>
      </c>
      <c r="K36" s="18">
        <v>2098588.6907397574</v>
      </c>
      <c r="L36" s="18">
        <v>2132497.2290129289</v>
      </c>
      <c r="M36" s="32">
        <f t="shared" si="4"/>
        <v>2122294.9773003496</v>
      </c>
      <c r="N36" s="17">
        <v>24614975</v>
      </c>
      <c r="O36" s="18">
        <v>26067258.524999999</v>
      </c>
      <c r="P36" s="20">
        <v>27579159.519450005</v>
      </c>
      <c r="Q36" s="15"/>
      <c r="R36" s="15"/>
      <c r="S36" s="15"/>
      <c r="T36" s="15"/>
      <c r="U36" s="15"/>
      <c r="V36" s="15"/>
      <c r="W36" s="15"/>
    </row>
    <row r="37" spans="1:23" x14ac:dyDescent="0.25">
      <c r="A37" s="37" t="s">
        <v>24</v>
      </c>
      <c r="B37" s="17">
        <v>258082.6121452736</v>
      </c>
      <c r="C37" s="18">
        <v>257384.30490853149</v>
      </c>
      <c r="D37" s="18">
        <v>695292.89799029706</v>
      </c>
      <c r="E37" s="18">
        <v>0</v>
      </c>
      <c r="F37" s="18">
        <v>502914.87570356426</v>
      </c>
      <c r="G37" s="18">
        <v>5343385.7643616516</v>
      </c>
      <c r="H37" s="18">
        <v>0</v>
      </c>
      <c r="I37" s="18">
        <v>0</v>
      </c>
      <c r="J37" s="18">
        <v>0</v>
      </c>
      <c r="K37" s="18">
        <v>0</v>
      </c>
      <c r="L37" s="18">
        <v>0</v>
      </c>
      <c r="M37" s="32">
        <f t="shared" si="4"/>
        <v>5713969.5448906813</v>
      </c>
      <c r="N37" s="17">
        <v>12771030</v>
      </c>
      <c r="O37" s="18">
        <v>13524520.77</v>
      </c>
      <c r="P37" s="20">
        <v>14308942.974659998</v>
      </c>
      <c r="Q37" s="15"/>
      <c r="R37" s="15"/>
      <c r="S37" s="15"/>
      <c r="T37" s="15"/>
      <c r="U37" s="15"/>
      <c r="V37" s="15"/>
      <c r="W37" s="15"/>
    </row>
    <row r="38" spans="1:23" x14ac:dyDescent="0.25">
      <c r="A38" s="37" t="s">
        <v>25</v>
      </c>
      <c r="B38" s="17">
        <v>39678986.647519611</v>
      </c>
      <c r="C38" s="18">
        <v>38379782.749469042</v>
      </c>
      <c r="D38" s="18">
        <v>35390668.293437339</v>
      </c>
      <c r="E38" s="18">
        <v>22850827.447479621</v>
      </c>
      <c r="F38" s="18">
        <v>24869321.582611226</v>
      </c>
      <c r="G38" s="18">
        <v>24067599.4339559</v>
      </c>
      <c r="H38" s="18">
        <v>19990971.025431212</v>
      </c>
      <c r="I38" s="18">
        <v>21983678.123850137</v>
      </c>
      <c r="J38" s="18">
        <v>21795852.205162939</v>
      </c>
      <c r="K38" s="18">
        <v>21154866.006430421</v>
      </c>
      <c r="L38" s="18">
        <v>18373915.76438668</v>
      </c>
      <c r="M38" s="32">
        <f t="shared" si="4"/>
        <v>21963530.720265865</v>
      </c>
      <c r="N38" s="17">
        <v>310500000</v>
      </c>
      <c r="O38" s="18">
        <f>365355000*90%</f>
        <v>328819500</v>
      </c>
      <c r="P38" s="20">
        <f>386545590*90%</f>
        <v>347891031</v>
      </c>
      <c r="Q38" s="15"/>
      <c r="R38" s="15"/>
      <c r="S38" s="15"/>
      <c r="T38" s="15"/>
      <c r="U38" s="15"/>
      <c r="V38" s="15"/>
      <c r="W38" s="15"/>
    </row>
    <row r="39" spans="1:23" x14ac:dyDescent="0.25">
      <c r="A39" s="37" t="s">
        <v>26</v>
      </c>
      <c r="B39" s="17">
        <v>0</v>
      </c>
      <c r="C39" s="18">
        <v>0</v>
      </c>
      <c r="D39" s="18">
        <v>0</v>
      </c>
      <c r="E39" s="18">
        <v>0</v>
      </c>
      <c r="F39" s="18">
        <v>0</v>
      </c>
      <c r="G39" s="18">
        <v>0</v>
      </c>
      <c r="H39" s="18">
        <v>0</v>
      </c>
      <c r="I39" s="18">
        <v>0</v>
      </c>
      <c r="J39" s="18">
        <v>0</v>
      </c>
      <c r="K39" s="18">
        <v>0</v>
      </c>
      <c r="L39" s="18">
        <v>0</v>
      </c>
      <c r="M39" s="32">
        <f t="shared" si="4"/>
        <v>0</v>
      </c>
      <c r="N39" s="17">
        <v>0</v>
      </c>
      <c r="O39" s="18"/>
      <c r="P39" s="20"/>
      <c r="Q39" s="46"/>
      <c r="R39" s="15"/>
      <c r="S39" s="15"/>
      <c r="T39" s="15"/>
      <c r="U39" s="15"/>
      <c r="V39" s="15"/>
      <c r="W39" s="15"/>
    </row>
    <row r="40" spans="1:23" x14ac:dyDescent="0.25">
      <c r="A40" s="37" t="s">
        <v>27</v>
      </c>
      <c r="B40" s="17">
        <v>1943466.3500472251</v>
      </c>
      <c r="C40" s="18">
        <v>4755129.1832487434</v>
      </c>
      <c r="D40" s="18">
        <v>5332246.2956696572</v>
      </c>
      <c r="E40" s="18">
        <v>5591799.89481444</v>
      </c>
      <c r="F40" s="18">
        <v>3888925.7649496063</v>
      </c>
      <c r="G40" s="18">
        <v>897556.13157732971</v>
      </c>
      <c r="H40" s="18">
        <v>5407039.6722162422</v>
      </c>
      <c r="I40" s="18">
        <v>2000795.7577832362</v>
      </c>
      <c r="J40" s="18">
        <v>9247646.1729658209</v>
      </c>
      <c r="K40" s="18">
        <v>2570678.5205073133</v>
      </c>
      <c r="L40" s="18">
        <v>2854702.7710031657</v>
      </c>
      <c r="M40" s="32">
        <f t="shared" si="4"/>
        <v>8740908.5852172226</v>
      </c>
      <c r="N40" s="17">
        <v>53230895.100000001</v>
      </c>
      <c r="O40" s="18">
        <f>62635019.901*90%</f>
        <v>56371517.910900004</v>
      </c>
      <c r="P40" s="20">
        <f>66267851.055258*90%</f>
        <v>59641065.949732199</v>
      </c>
      <c r="Q40" s="46"/>
      <c r="R40" s="15"/>
      <c r="S40" s="15"/>
      <c r="T40" s="15"/>
      <c r="U40" s="15"/>
      <c r="V40" s="15"/>
      <c r="W40" s="15"/>
    </row>
    <row r="41" spans="1:23" x14ac:dyDescent="0.25">
      <c r="A41" s="37" t="s">
        <v>28</v>
      </c>
      <c r="B41" s="17">
        <v>5788488.4518266274</v>
      </c>
      <c r="C41" s="18">
        <v>2292460.2140063806</v>
      </c>
      <c r="D41" s="18">
        <v>4235319.9849821068</v>
      </c>
      <c r="E41" s="18">
        <v>3412642.4210662618</v>
      </c>
      <c r="F41" s="18">
        <v>3251291.9568250119</v>
      </c>
      <c r="G41" s="18">
        <v>7423617.260542009</v>
      </c>
      <c r="H41" s="18">
        <v>3321112.4506654739</v>
      </c>
      <c r="I41" s="18">
        <v>1577379.7163034137</v>
      </c>
      <c r="J41" s="18">
        <v>4987303.1209085444</v>
      </c>
      <c r="K41" s="18">
        <v>1362139.9528097219</v>
      </c>
      <c r="L41" s="18">
        <v>4621978.807055057</v>
      </c>
      <c r="M41" s="32">
        <f t="shared" si="4"/>
        <v>2377400.4630094022</v>
      </c>
      <c r="N41" s="17">
        <v>44651134.800000004</v>
      </c>
      <c r="O41" s="18">
        <f>52539501.948*90%</f>
        <v>47285551.753200002</v>
      </c>
      <c r="P41" s="20">
        <f>55586793.060984*90%</f>
        <v>50028113.754885599</v>
      </c>
      <c r="Q41" s="15"/>
      <c r="R41" s="15"/>
      <c r="S41" s="15"/>
      <c r="T41" s="15"/>
      <c r="U41" s="15"/>
      <c r="V41" s="15"/>
      <c r="W41" s="15"/>
    </row>
    <row r="42" spans="1:23" x14ac:dyDescent="0.25">
      <c r="A42" s="37" t="s">
        <v>29</v>
      </c>
      <c r="B42" s="17">
        <v>0</v>
      </c>
      <c r="C42" s="18">
        <v>0</v>
      </c>
      <c r="D42" s="18">
        <v>0</v>
      </c>
      <c r="E42" s="18">
        <v>0</v>
      </c>
      <c r="F42" s="18">
        <v>0</v>
      </c>
      <c r="G42" s="18">
        <v>0</v>
      </c>
      <c r="H42" s="18">
        <v>0</v>
      </c>
      <c r="I42" s="18">
        <v>0</v>
      </c>
      <c r="J42" s="18">
        <v>0</v>
      </c>
      <c r="K42" s="18">
        <v>0</v>
      </c>
      <c r="L42" s="18">
        <v>0</v>
      </c>
      <c r="M42" s="32">
        <f t="shared" si="4"/>
        <v>0</v>
      </c>
      <c r="N42" s="17"/>
      <c r="O42" s="18"/>
      <c r="P42" s="20"/>
      <c r="Q42" s="15"/>
      <c r="R42" s="15"/>
      <c r="S42" s="15"/>
      <c r="T42" s="15"/>
      <c r="U42" s="15"/>
      <c r="V42" s="15"/>
      <c r="W42" s="15"/>
    </row>
    <row r="43" spans="1:23" x14ac:dyDescent="0.25">
      <c r="A43" s="37" t="s">
        <v>30</v>
      </c>
      <c r="B43" s="17">
        <v>182505.66058770334</v>
      </c>
      <c r="C43" s="18">
        <v>1630592.186162252</v>
      </c>
      <c r="D43" s="18">
        <v>6301935.2838325929</v>
      </c>
      <c r="E43" s="18">
        <v>2073312.1576322766</v>
      </c>
      <c r="F43" s="18">
        <v>2134717.2228953615</v>
      </c>
      <c r="G43" s="18">
        <v>3788698.4475812311</v>
      </c>
      <c r="H43" s="18">
        <v>912020.52419575979</v>
      </c>
      <c r="I43" s="18">
        <v>3693657.0983704887</v>
      </c>
      <c r="J43" s="18">
        <v>1151035.3748390363</v>
      </c>
      <c r="K43" s="18">
        <v>4037053.5106334891</v>
      </c>
      <c r="L43" s="18">
        <v>6547845.1755192857</v>
      </c>
      <c r="M43" s="32">
        <f t="shared" si="4"/>
        <v>6725626.3577505201</v>
      </c>
      <c r="N43" s="17">
        <v>39178999</v>
      </c>
      <c r="O43" s="18">
        <v>24680842.941</v>
      </c>
      <c r="P43" s="20">
        <v>30117921.831577998</v>
      </c>
      <c r="Q43" s="15"/>
      <c r="R43" s="15"/>
      <c r="S43" s="15"/>
      <c r="T43" s="15"/>
      <c r="U43" s="15"/>
      <c r="V43" s="15"/>
      <c r="W43" s="15"/>
    </row>
    <row r="44" spans="1:23" x14ac:dyDescent="0.25">
      <c r="A44" s="37" t="s">
        <v>31</v>
      </c>
      <c r="B44" s="17">
        <v>19389232.927438237</v>
      </c>
      <c r="C44" s="18">
        <v>5949775.9366746917</v>
      </c>
      <c r="D44" s="18">
        <v>9513373.6322694477</v>
      </c>
      <c r="E44" s="18">
        <v>11489983.093462778</v>
      </c>
      <c r="F44" s="18">
        <v>8762885.9316569977</v>
      </c>
      <c r="G44" s="18">
        <v>11467431.231235558</v>
      </c>
      <c r="H44" s="18">
        <v>7637561.85297901</v>
      </c>
      <c r="I44" s="18">
        <v>8159582.8947886517</v>
      </c>
      <c r="J44" s="18">
        <v>6303764.2583634108</v>
      </c>
      <c r="K44" s="18">
        <v>19522575.434623845</v>
      </c>
      <c r="L44" s="18">
        <v>7776408.8005637871</v>
      </c>
      <c r="M44" s="32">
        <f t="shared" si="4"/>
        <v>8944025.4909435958</v>
      </c>
      <c r="N44" s="17">
        <f>124662601.485+254000</f>
        <v>124916601.485</v>
      </c>
      <c r="O44" s="18">
        <f>168924762-12371762-12371762</f>
        <v>144181238</v>
      </c>
      <c r="P44" s="20">
        <v>131524000</v>
      </c>
      <c r="Q44" s="15"/>
      <c r="R44" s="15"/>
      <c r="S44" s="15"/>
      <c r="T44" s="15"/>
      <c r="U44" s="15"/>
      <c r="V44" s="15"/>
      <c r="W44" s="15"/>
    </row>
    <row r="45" spans="1:23" x14ac:dyDescent="0.25">
      <c r="A45" s="24" t="s">
        <v>21</v>
      </c>
      <c r="B45" s="25">
        <f t="shared" ref="B45:O45" si="5">SUM(B35:B44)</f>
        <v>96436072.01508835</v>
      </c>
      <c r="C45" s="26">
        <f t="shared" si="5"/>
        <v>79162352.975559324</v>
      </c>
      <c r="D45" s="26">
        <f t="shared" si="5"/>
        <v>88865889.295797855</v>
      </c>
      <c r="E45" s="26">
        <f t="shared" si="5"/>
        <v>75265925.639415041</v>
      </c>
      <c r="F45" s="26">
        <f t="shared" si="5"/>
        <v>70235948.02096732</v>
      </c>
      <c r="G45" s="26">
        <f t="shared" si="5"/>
        <v>81024135.688007206</v>
      </c>
      <c r="H45" s="26">
        <f t="shared" si="5"/>
        <v>68894475.54071781</v>
      </c>
      <c r="I45" s="26">
        <f t="shared" si="5"/>
        <v>65534767.346258089</v>
      </c>
      <c r="J45" s="26">
        <f t="shared" si="5"/>
        <v>70797349.371416062</v>
      </c>
      <c r="K45" s="26">
        <f t="shared" si="5"/>
        <v>76661971.430048019</v>
      </c>
      <c r="L45" s="26">
        <f t="shared" si="5"/>
        <v>67539756.433795795</v>
      </c>
      <c r="M45" s="27">
        <f t="shared" si="5"/>
        <v>84547080.452929065</v>
      </c>
      <c r="N45" s="25">
        <f>SUM(N35:N44)</f>
        <v>924965724.21000004</v>
      </c>
      <c r="O45" s="26">
        <f t="shared" si="5"/>
        <v>974623541.96577513</v>
      </c>
      <c r="P45" s="28">
        <f>SUM(P35:P44)</f>
        <v>1014137547.5957898</v>
      </c>
      <c r="Q45" s="15"/>
      <c r="R45" s="15"/>
      <c r="S45" s="15"/>
      <c r="T45" s="15"/>
      <c r="U45" s="15"/>
      <c r="V45" s="15"/>
      <c r="W45" s="15"/>
    </row>
    <row r="46" spans="1:23" ht="5.0999999999999996" customHeight="1" x14ac:dyDescent="0.25">
      <c r="A46" s="29"/>
      <c r="B46" s="30"/>
      <c r="C46" s="31"/>
      <c r="D46" s="31"/>
      <c r="E46" s="31"/>
      <c r="F46" s="31"/>
      <c r="G46" s="31"/>
      <c r="H46" s="31"/>
      <c r="I46" s="31"/>
      <c r="J46" s="31"/>
      <c r="K46" s="31"/>
      <c r="L46" s="31"/>
      <c r="M46" s="32"/>
      <c r="N46" s="30"/>
      <c r="O46" s="31"/>
      <c r="P46" s="33"/>
      <c r="Q46" s="15"/>
      <c r="R46" s="15"/>
      <c r="S46" s="15"/>
      <c r="T46" s="15"/>
      <c r="U46" s="15"/>
      <c r="V46" s="15"/>
      <c r="W46" s="15"/>
    </row>
    <row r="47" spans="1:23" x14ac:dyDescent="0.25">
      <c r="A47" s="24" t="s">
        <v>32</v>
      </c>
      <c r="B47" s="30"/>
      <c r="C47" s="31"/>
      <c r="D47" s="31"/>
      <c r="E47" s="31"/>
      <c r="F47" s="31"/>
      <c r="G47" s="31"/>
      <c r="H47" s="31"/>
      <c r="I47" s="31"/>
      <c r="J47" s="31"/>
      <c r="K47" s="31"/>
      <c r="L47" s="31"/>
      <c r="M47" s="32"/>
      <c r="N47" s="30"/>
      <c r="O47" s="31"/>
      <c r="P47" s="33"/>
      <c r="Q47" s="15"/>
      <c r="R47" s="15"/>
      <c r="S47" s="15"/>
      <c r="T47" s="15"/>
      <c r="U47" s="15"/>
      <c r="V47" s="15"/>
      <c r="W47" s="15"/>
    </row>
    <row r="48" spans="1:23" x14ac:dyDescent="0.25">
      <c r="A48" s="37" t="str">
        <f>'[1]A7-CFlow'!A26</f>
        <v>Capital assets</v>
      </c>
      <c r="B48" s="17">
        <v>7367640.6752321841</v>
      </c>
      <c r="C48" s="18">
        <v>5919008.6037742319</v>
      </c>
      <c r="D48" s="18">
        <v>12640898.275046013</v>
      </c>
      <c r="E48" s="18">
        <v>5875746.2981954999</v>
      </c>
      <c r="F48" s="18">
        <v>14029882.691822207</v>
      </c>
      <c r="G48" s="18">
        <v>18789114.779967617</v>
      </c>
      <c r="H48" s="18">
        <v>14062470.947104916</v>
      </c>
      <c r="I48" s="18">
        <v>24210885.72250158</v>
      </c>
      <c r="J48" s="18">
        <v>10699431.447176613</v>
      </c>
      <c r="K48" s="18">
        <v>9458064.4569880199</v>
      </c>
      <c r="L48" s="18">
        <v>10675171.198723657</v>
      </c>
      <c r="M48" s="32">
        <f>N48-SUM(B48:L48)</f>
        <v>7161198.9034674764</v>
      </c>
      <c r="N48" s="17">
        <v>140889514</v>
      </c>
      <c r="O48" s="18">
        <v>143573200</v>
      </c>
      <c r="P48" s="20">
        <v>148958880</v>
      </c>
      <c r="Q48" s="15"/>
      <c r="R48" s="15"/>
      <c r="S48" s="15"/>
      <c r="T48" s="15"/>
      <c r="U48" s="15"/>
      <c r="V48" s="15"/>
      <c r="W48" s="15"/>
    </row>
    <row r="49" spans="1:23" x14ac:dyDescent="0.25">
      <c r="A49" s="37" t="str">
        <f>'[1]A7-CFlow'!A35</f>
        <v>Repayment of borrowing</v>
      </c>
      <c r="B49" s="17">
        <v>194245.02500303491</v>
      </c>
      <c r="C49" s="18">
        <v>195359.17599413649</v>
      </c>
      <c r="D49" s="18">
        <v>209570.28557451343</v>
      </c>
      <c r="E49" s="18">
        <v>197680.32389226471</v>
      </c>
      <c r="F49" s="18">
        <v>211940.69865252028</v>
      </c>
      <c r="G49" s="18">
        <v>11166724.209040333</v>
      </c>
      <c r="H49" s="18">
        <v>201174.36203442671</v>
      </c>
      <c r="I49" s="18">
        <v>241147.37106211099</v>
      </c>
      <c r="J49" s="18">
        <v>203486.03585950137</v>
      </c>
      <c r="K49" s="18">
        <v>217808.93950191062</v>
      </c>
      <c r="L49" s="18">
        <v>206125.51261223006</v>
      </c>
      <c r="M49" s="32">
        <f>N49-SUM(B49:L49)</f>
        <v>14329334.643198015</v>
      </c>
      <c r="N49" s="17">
        <v>27574596.582424998</v>
      </c>
      <c r="O49" s="18">
        <v>21039526.456586406</v>
      </c>
      <c r="P49" s="20">
        <v>25618107.855826169</v>
      </c>
      <c r="Q49" s="15"/>
      <c r="R49" s="15"/>
      <c r="S49" s="15"/>
      <c r="T49" s="15"/>
      <c r="U49" s="15"/>
      <c r="V49" s="15"/>
      <c r="W49" s="15"/>
    </row>
    <row r="50" spans="1:23" x14ac:dyDescent="0.25">
      <c r="A50" s="37" t="str">
        <f>LEFT(A47,25)</f>
        <v>Other Cash Flows/Payments</v>
      </c>
      <c r="B50" s="17"/>
      <c r="C50" s="18"/>
      <c r="D50" s="18"/>
      <c r="E50" s="18"/>
      <c r="F50" s="18"/>
      <c r="G50" s="18"/>
      <c r="H50" s="18"/>
      <c r="I50" s="18"/>
      <c r="J50" s="18"/>
      <c r="K50" s="18"/>
      <c r="L50" s="18"/>
      <c r="M50" s="32">
        <f>N50-SUM(B50:L50)</f>
        <v>0</v>
      </c>
      <c r="N50" s="17"/>
      <c r="O50" s="18"/>
      <c r="P50" s="20"/>
      <c r="Q50" s="15"/>
      <c r="R50" s="15"/>
      <c r="S50" s="15"/>
      <c r="T50" s="15"/>
      <c r="U50" s="15"/>
      <c r="V50" s="15"/>
      <c r="W50" s="15"/>
    </row>
    <row r="51" spans="1:23" x14ac:dyDescent="0.25">
      <c r="A51" s="38" t="s">
        <v>33</v>
      </c>
      <c r="B51" s="39">
        <f>SUM(B45:B50)</f>
        <v>103997957.71532357</v>
      </c>
      <c r="C51" s="40">
        <f t="shared" ref="C51:P51" si="6">SUM(C45:C50)</f>
        <v>85276720.755327702</v>
      </c>
      <c r="D51" s="40">
        <f t="shared" si="6"/>
        <v>101716357.85641839</v>
      </c>
      <c r="E51" s="40">
        <f t="shared" si="6"/>
        <v>81339352.261502802</v>
      </c>
      <c r="F51" s="40">
        <f t="shared" si="6"/>
        <v>84477771.411442041</v>
      </c>
      <c r="G51" s="40">
        <f t="shared" si="6"/>
        <v>110979974.67701516</v>
      </c>
      <c r="H51" s="40">
        <f t="shared" si="6"/>
        <v>83158120.849857152</v>
      </c>
      <c r="I51" s="40">
        <f t="shared" si="6"/>
        <v>89986800.43982178</v>
      </c>
      <c r="J51" s="40">
        <f t="shared" si="6"/>
        <v>81700266.854452163</v>
      </c>
      <c r="K51" s="40">
        <f t="shared" si="6"/>
        <v>86337844.826537952</v>
      </c>
      <c r="L51" s="40">
        <f t="shared" si="6"/>
        <v>78421053.145131677</v>
      </c>
      <c r="M51" s="41">
        <f t="shared" si="6"/>
        <v>106037613.99959455</v>
      </c>
      <c r="N51" s="39">
        <f t="shared" si="6"/>
        <v>1093429834.7924252</v>
      </c>
      <c r="O51" s="40">
        <f t="shared" si="6"/>
        <v>1139236268.4223614</v>
      </c>
      <c r="P51" s="42">
        <f t="shared" si="6"/>
        <v>1188714535.451616</v>
      </c>
      <c r="Q51" s="15"/>
      <c r="R51" s="47" t="s">
        <v>34</v>
      </c>
      <c r="S51" s="15"/>
      <c r="T51" s="15"/>
      <c r="U51" s="15"/>
      <c r="V51" s="15"/>
      <c r="W51" s="15"/>
    </row>
    <row r="52" spans="1:23" ht="5.0999999999999996" customHeight="1" x14ac:dyDescent="0.25">
      <c r="A52" s="29"/>
      <c r="B52" s="30"/>
      <c r="C52" s="31"/>
      <c r="D52" s="31"/>
      <c r="E52" s="31"/>
      <c r="F52" s="31"/>
      <c r="G52" s="31"/>
      <c r="H52" s="31"/>
      <c r="I52" s="31"/>
      <c r="J52" s="31"/>
      <c r="K52" s="31"/>
      <c r="L52" s="31"/>
      <c r="M52" s="32"/>
      <c r="N52" s="30"/>
      <c r="O52" s="31"/>
      <c r="P52" s="33"/>
      <c r="Q52" s="15"/>
      <c r="R52" s="15"/>
      <c r="S52" s="15"/>
      <c r="T52" s="15"/>
      <c r="U52" s="15"/>
      <c r="V52" s="15"/>
      <c r="W52" s="15"/>
    </row>
    <row r="53" spans="1:23" s="57" customFormat="1" ht="13.5" thickBot="1" x14ac:dyDescent="0.3">
      <c r="A53" s="48" t="s">
        <v>35</v>
      </c>
      <c r="B53" s="49">
        <f t="shared" ref="B53:P53" si="7">B32-B51</f>
        <v>101402415.67585602</v>
      </c>
      <c r="C53" s="50">
        <f t="shared" si="7"/>
        <v>-35552860.671418719</v>
      </c>
      <c r="D53" s="50">
        <f t="shared" si="7"/>
        <v>-45352614.99105344</v>
      </c>
      <c r="E53" s="50">
        <f t="shared" si="7"/>
        <v>-25070044.720532045</v>
      </c>
      <c r="F53" s="50">
        <f t="shared" si="7"/>
        <v>112422855.63601807</v>
      </c>
      <c r="G53" s="50">
        <f t="shared" si="7"/>
        <v>-62597895.561276354</v>
      </c>
      <c r="H53" s="50">
        <f t="shared" si="7"/>
        <v>2963271.9412112832</v>
      </c>
      <c r="I53" s="50">
        <f t="shared" si="7"/>
        <v>-30864771.961493574</v>
      </c>
      <c r="J53" s="50">
        <f t="shared" si="7"/>
        <v>89345412.38731432</v>
      </c>
      <c r="K53" s="50">
        <f t="shared" si="7"/>
        <v>-38347157.409850992</v>
      </c>
      <c r="L53" s="50">
        <f t="shared" si="7"/>
        <v>-21306951.642063215</v>
      </c>
      <c r="M53" s="51">
        <f t="shared" si="7"/>
        <v>-47520666.475136347</v>
      </c>
      <c r="N53" s="49">
        <f t="shared" si="7"/>
        <v>-479007.79242515564</v>
      </c>
      <c r="O53" s="50">
        <f t="shared" si="7"/>
        <v>915264.70493865013</v>
      </c>
      <c r="P53" s="52">
        <f t="shared" si="7"/>
        <v>9827492.4510674477</v>
      </c>
      <c r="Q53" s="53"/>
      <c r="R53" s="54"/>
      <c r="S53" s="55"/>
      <c r="T53" s="56"/>
      <c r="U53" s="56"/>
      <c r="V53" s="56"/>
      <c r="W53" s="56"/>
    </row>
    <row r="54" spans="1:23" ht="10.5" customHeight="1" x14ac:dyDescent="0.25">
      <c r="A54" s="29" t="s">
        <v>36</v>
      </c>
      <c r="B54" s="58">
        <v>12342983</v>
      </c>
      <c r="C54" s="59">
        <f>B55</f>
        <v>113745398.67585602</v>
      </c>
      <c r="D54" s="59">
        <f t="shared" ref="D54:M54" si="8">C55</f>
        <v>78192538.004437298</v>
      </c>
      <c r="E54" s="59">
        <f t="shared" si="8"/>
        <v>32839923.013383858</v>
      </c>
      <c r="F54" s="59">
        <f t="shared" si="8"/>
        <v>7769878.2928518131</v>
      </c>
      <c r="G54" s="59">
        <f t="shared" si="8"/>
        <v>120192733.92886987</v>
      </c>
      <c r="H54" s="59">
        <f t="shared" si="8"/>
        <v>57594838.367593519</v>
      </c>
      <c r="I54" s="59">
        <f t="shared" si="8"/>
        <v>60558110.308804803</v>
      </c>
      <c r="J54" s="59">
        <f t="shared" si="8"/>
        <v>29693338.347311229</v>
      </c>
      <c r="K54" s="59">
        <f t="shared" si="8"/>
        <v>119038750.73462555</v>
      </c>
      <c r="L54" s="59">
        <f t="shared" si="8"/>
        <v>80691593.324774563</v>
      </c>
      <c r="M54" s="60">
        <f t="shared" si="8"/>
        <v>59384641.682711348</v>
      </c>
      <c r="N54" s="61">
        <f>B54</f>
        <v>12342983</v>
      </c>
      <c r="O54" s="59">
        <f>N55</f>
        <v>11863975.207574844</v>
      </c>
      <c r="P54" s="62">
        <f>O55</f>
        <v>12779239.912513494</v>
      </c>
      <c r="Q54" s="15"/>
      <c r="R54" s="15"/>
      <c r="S54" s="15"/>
      <c r="T54" s="15"/>
      <c r="U54" s="15"/>
      <c r="V54" s="15"/>
      <c r="W54" s="15"/>
    </row>
    <row r="55" spans="1:23" ht="10.5" customHeight="1" x14ac:dyDescent="0.25">
      <c r="A55" s="63" t="s">
        <v>37</v>
      </c>
      <c r="B55" s="64">
        <f>B54+B53</f>
        <v>113745398.67585602</v>
      </c>
      <c r="C55" s="65">
        <f>C54+C53</f>
        <v>78192538.004437298</v>
      </c>
      <c r="D55" s="65">
        <f t="shared" ref="D55:P55" si="9">D54+D53</f>
        <v>32839923.013383858</v>
      </c>
      <c r="E55" s="65">
        <f t="shared" si="9"/>
        <v>7769878.2928518131</v>
      </c>
      <c r="F55" s="65">
        <f t="shared" si="9"/>
        <v>120192733.92886987</v>
      </c>
      <c r="G55" s="65">
        <f t="shared" si="9"/>
        <v>57594838.367593519</v>
      </c>
      <c r="H55" s="65">
        <f t="shared" si="9"/>
        <v>60558110.308804803</v>
      </c>
      <c r="I55" s="65">
        <f t="shared" si="9"/>
        <v>29693338.347311229</v>
      </c>
      <c r="J55" s="65">
        <f t="shared" si="9"/>
        <v>119038750.73462555</v>
      </c>
      <c r="K55" s="65">
        <f t="shared" si="9"/>
        <v>80691593.324774563</v>
      </c>
      <c r="L55" s="65">
        <f t="shared" si="9"/>
        <v>59384641.682711348</v>
      </c>
      <c r="M55" s="66">
        <f t="shared" si="9"/>
        <v>11863975.207575001</v>
      </c>
      <c r="N55" s="67">
        <f t="shared" si="9"/>
        <v>11863975.207574844</v>
      </c>
      <c r="O55" s="65">
        <f t="shared" si="9"/>
        <v>12779239.912513494</v>
      </c>
      <c r="P55" s="68">
        <f t="shared" si="9"/>
        <v>22606732.363580942</v>
      </c>
      <c r="Q55" s="15"/>
      <c r="R55" s="15"/>
      <c r="S55" s="15"/>
      <c r="T55" s="15"/>
      <c r="U55" s="15"/>
      <c r="V55" s="15"/>
      <c r="W55" s="15"/>
    </row>
    <row r="56" spans="1:23" ht="10.5" customHeight="1" x14ac:dyDescent="0.25">
      <c r="A56" s="69" t="str">
        <f>head27a</f>
        <v>References</v>
      </c>
      <c r="B56" s="15"/>
      <c r="C56" s="15"/>
      <c r="D56" s="15"/>
      <c r="E56" s="15"/>
      <c r="F56" s="15"/>
      <c r="G56" s="15"/>
      <c r="H56" s="15"/>
      <c r="I56" s="15"/>
      <c r="J56" s="15"/>
      <c r="K56" s="15"/>
      <c r="L56" s="15"/>
      <c r="M56" s="15"/>
      <c r="N56" s="15"/>
      <c r="O56" s="15"/>
      <c r="P56" s="15"/>
      <c r="Q56" s="15"/>
      <c r="R56" s="15"/>
      <c r="S56" s="15"/>
      <c r="T56" s="15"/>
      <c r="U56" s="15"/>
      <c r="V56" s="15"/>
      <c r="W56" s="15"/>
    </row>
    <row r="57" spans="1:23" ht="27.75" customHeight="1" x14ac:dyDescent="0.25">
      <c r="A57" s="78" t="s">
        <v>38</v>
      </c>
      <c r="B57" s="78"/>
      <c r="C57" s="78"/>
      <c r="D57" s="78"/>
      <c r="E57" s="78"/>
      <c r="F57" s="78"/>
      <c r="G57" s="78"/>
      <c r="H57" s="78"/>
      <c r="I57" s="78"/>
      <c r="J57" s="78"/>
      <c r="K57" s="78"/>
      <c r="L57" s="78"/>
      <c r="M57" s="78"/>
      <c r="N57" s="78"/>
      <c r="O57" s="78"/>
      <c r="P57" s="78"/>
      <c r="Q57" s="15"/>
      <c r="R57" s="15"/>
      <c r="S57" s="15"/>
      <c r="T57" s="15"/>
      <c r="U57" s="15"/>
      <c r="V57" s="15"/>
      <c r="W57" s="15"/>
    </row>
    <row r="58" spans="1:23" ht="10.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row>
    <row r="59" spans="1:23" ht="10.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row>
    <row r="60" spans="1:23" x14ac:dyDescent="0.25">
      <c r="A60" s="15"/>
      <c r="B60" s="15"/>
      <c r="C60" s="15"/>
      <c r="D60" s="15"/>
      <c r="E60" s="15"/>
      <c r="F60" s="15"/>
      <c r="G60" s="15"/>
      <c r="H60" s="15"/>
      <c r="I60" s="15"/>
      <c r="J60" s="15"/>
      <c r="K60" s="15"/>
      <c r="L60" s="15"/>
      <c r="M60" s="15"/>
      <c r="N60" s="15"/>
      <c r="O60" s="15"/>
      <c r="P60" s="15"/>
      <c r="Q60" s="15"/>
      <c r="R60" s="15"/>
      <c r="S60" s="15"/>
      <c r="T60" s="15"/>
      <c r="U60" s="15"/>
      <c r="V60" s="15"/>
      <c r="W60" s="15"/>
    </row>
    <row r="61" spans="1:23" x14ac:dyDescent="0.25">
      <c r="A61" s="15"/>
      <c r="B61" s="15"/>
      <c r="C61" s="15"/>
      <c r="D61" s="15"/>
      <c r="E61" s="70"/>
      <c r="F61" s="70"/>
      <c r="G61" s="70"/>
      <c r="H61" s="70"/>
      <c r="I61" s="70"/>
      <c r="J61" s="70"/>
      <c r="K61" s="70"/>
      <c r="L61" s="70"/>
      <c r="M61" s="70"/>
      <c r="N61" s="15"/>
      <c r="O61" s="15"/>
      <c r="P61" s="15"/>
      <c r="Q61" s="15"/>
      <c r="R61" s="15"/>
      <c r="S61" s="15"/>
      <c r="T61" s="15"/>
      <c r="U61" s="15"/>
      <c r="V61" s="15"/>
      <c r="W61" s="15"/>
    </row>
    <row r="62" spans="1:23" x14ac:dyDescent="0.25">
      <c r="A62" s="15"/>
      <c r="B62" s="15"/>
      <c r="C62" s="15"/>
      <c r="D62" s="15"/>
      <c r="E62" s="46">
        <f t="shared" ref="E62:P62" si="10">E45+E61</f>
        <v>75265925.639415041</v>
      </c>
      <c r="F62" s="46">
        <f t="shared" si="10"/>
        <v>70235948.02096732</v>
      </c>
      <c r="G62" s="46">
        <f t="shared" si="10"/>
        <v>81024135.688007206</v>
      </c>
      <c r="H62" s="46">
        <f t="shared" si="10"/>
        <v>68894475.54071781</v>
      </c>
      <c r="I62" s="46">
        <f t="shared" si="10"/>
        <v>65534767.346258089</v>
      </c>
      <c r="J62" s="46">
        <f t="shared" si="10"/>
        <v>70797349.371416062</v>
      </c>
      <c r="K62" s="46">
        <f t="shared" si="10"/>
        <v>76661971.430048019</v>
      </c>
      <c r="L62" s="46">
        <f t="shared" si="10"/>
        <v>67539756.433795795</v>
      </c>
      <c r="M62" s="46">
        <f t="shared" si="10"/>
        <v>84547080.452929065</v>
      </c>
      <c r="N62" s="46">
        <f t="shared" si="10"/>
        <v>924965724.21000004</v>
      </c>
      <c r="O62" s="46">
        <f t="shared" si="10"/>
        <v>974623541.96577513</v>
      </c>
      <c r="P62" s="46">
        <f t="shared" si="10"/>
        <v>1014137547.5957898</v>
      </c>
      <c r="Q62" s="15"/>
      <c r="R62" s="15"/>
      <c r="S62" s="15"/>
      <c r="T62" s="15"/>
      <c r="U62" s="15"/>
      <c r="V62" s="15"/>
      <c r="W62" s="15"/>
    </row>
    <row r="63" spans="1:23" x14ac:dyDescent="0.25">
      <c r="A63" s="15"/>
      <c r="B63" s="15"/>
      <c r="C63" s="15"/>
      <c r="D63" s="15"/>
      <c r="E63" s="46">
        <f t="shared" ref="E63:P63" si="11">E53-E61</f>
        <v>-25070044.720532045</v>
      </c>
      <c r="F63" s="46">
        <f t="shared" si="11"/>
        <v>112422855.63601807</v>
      </c>
      <c r="G63" s="46">
        <f t="shared" si="11"/>
        <v>-62597895.561276354</v>
      </c>
      <c r="H63" s="46">
        <f t="shared" si="11"/>
        <v>2963271.9412112832</v>
      </c>
      <c r="I63" s="46">
        <f t="shared" si="11"/>
        <v>-30864771.961493574</v>
      </c>
      <c r="J63" s="46">
        <f t="shared" si="11"/>
        <v>89345412.38731432</v>
      </c>
      <c r="K63" s="46">
        <f t="shared" si="11"/>
        <v>-38347157.409850992</v>
      </c>
      <c r="L63" s="46">
        <f t="shared" si="11"/>
        <v>-21306951.642063215</v>
      </c>
      <c r="M63" s="46">
        <f t="shared" si="11"/>
        <v>-47520666.475136347</v>
      </c>
      <c r="N63" s="46">
        <f t="shared" si="11"/>
        <v>-479007.79242515564</v>
      </c>
      <c r="O63" s="46">
        <f t="shared" si="11"/>
        <v>915264.70493865013</v>
      </c>
      <c r="P63" s="46">
        <f t="shared" si="11"/>
        <v>9827492.4510674477</v>
      </c>
      <c r="Q63" s="15"/>
      <c r="R63" s="15"/>
      <c r="S63" s="15"/>
      <c r="T63" s="15"/>
      <c r="U63" s="15"/>
      <c r="V63" s="15"/>
      <c r="W63" s="15"/>
    </row>
    <row r="64" spans="1:23" x14ac:dyDescent="0.25">
      <c r="A64" s="15"/>
      <c r="B64" s="15"/>
      <c r="C64" s="15"/>
      <c r="D64" s="15"/>
      <c r="E64" s="15"/>
      <c r="F64" s="15"/>
      <c r="G64" s="15"/>
      <c r="H64" s="15"/>
      <c r="I64" s="15"/>
      <c r="J64" s="15"/>
      <c r="K64" s="15"/>
      <c r="L64" s="15"/>
      <c r="M64" s="15"/>
      <c r="N64" s="15"/>
      <c r="O64" s="15"/>
      <c r="P64" s="15"/>
      <c r="Q64" s="15"/>
      <c r="R64" s="15"/>
      <c r="S64" s="15"/>
      <c r="T64" s="15"/>
      <c r="U64" s="15"/>
      <c r="V64" s="15"/>
      <c r="W64" s="15"/>
    </row>
    <row r="65" spans="1:23" x14ac:dyDescent="0.25">
      <c r="A65" s="15"/>
      <c r="B65" s="15"/>
      <c r="C65" s="15"/>
      <c r="D65" s="15"/>
      <c r="E65" s="15"/>
      <c r="F65" s="15"/>
      <c r="G65" s="15"/>
      <c r="H65" s="15"/>
      <c r="I65" s="15"/>
      <c r="J65" s="15"/>
      <c r="K65" s="15"/>
      <c r="L65" s="15"/>
      <c r="M65" s="15"/>
      <c r="N65" s="15"/>
      <c r="O65" s="15"/>
      <c r="P65" s="15"/>
      <c r="Q65" s="15"/>
      <c r="R65" s="15"/>
      <c r="S65" s="15"/>
      <c r="T65" s="15"/>
      <c r="U65" s="15"/>
      <c r="V65" s="15"/>
      <c r="W65" s="15"/>
    </row>
    <row r="66" spans="1:23" x14ac:dyDescent="0.25">
      <c r="A66" s="15"/>
      <c r="B66" s="15"/>
      <c r="C66" s="15"/>
      <c r="D66" s="15"/>
      <c r="E66" s="15"/>
      <c r="F66" s="15"/>
      <c r="G66" s="15"/>
      <c r="H66" s="15"/>
      <c r="I66" s="15"/>
      <c r="J66" s="15"/>
      <c r="K66" s="15"/>
      <c r="L66" s="15"/>
      <c r="M66" s="15"/>
      <c r="N66" s="15"/>
      <c r="O66" s="15"/>
      <c r="P66" s="15"/>
      <c r="Q66" s="15"/>
      <c r="R66" s="15"/>
      <c r="S66" s="15"/>
      <c r="T66" s="15"/>
      <c r="U66" s="15"/>
      <c r="V66" s="15"/>
      <c r="W66" s="15"/>
    </row>
    <row r="67" spans="1:23" x14ac:dyDescent="0.25">
      <c r="A67" s="15"/>
      <c r="B67" s="15"/>
      <c r="C67" s="15"/>
      <c r="D67" s="15"/>
      <c r="E67" s="15"/>
      <c r="F67" s="15"/>
      <c r="G67" s="15"/>
      <c r="H67" s="15"/>
      <c r="I67" s="15"/>
      <c r="J67" s="15"/>
      <c r="K67" s="15"/>
      <c r="L67" s="15"/>
      <c r="M67" s="15"/>
      <c r="N67" s="15"/>
      <c r="O67" s="15"/>
      <c r="P67" s="15"/>
      <c r="Q67" s="15"/>
      <c r="R67" s="15"/>
      <c r="S67" s="15"/>
      <c r="T67" s="15"/>
      <c r="U67" s="15"/>
      <c r="V67" s="15"/>
      <c r="W67" s="15"/>
    </row>
    <row r="68" spans="1:23" x14ac:dyDescent="0.25">
      <c r="A68" s="15"/>
      <c r="B68" s="15"/>
      <c r="C68" s="15"/>
      <c r="D68" s="15"/>
      <c r="E68" s="15"/>
      <c r="F68" s="15"/>
      <c r="G68" s="15"/>
      <c r="H68" s="15"/>
      <c r="I68" s="15"/>
      <c r="J68" s="15"/>
      <c r="K68" s="15"/>
      <c r="L68" s="15"/>
      <c r="M68" s="15"/>
      <c r="N68" s="15"/>
      <c r="O68" s="15"/>
      <c r="P68" s="15"/>
      <c r="Q68" s="15"/>
      <c r="R68" s="15"/>
      <c r="S68" s="15"/>
      <c r="T68" s="15"/>
      <c r="U68" s="15"/>
      <c r="V68" s="15"/>
      <c r="W68" s="15"/>
    </row>
    <row r="188" spans="2:44" x14ac:dyDescent="0.25">
      <c r="B188" s="71"/>
      <c r="C188" s="71"/>
      <c r="D188" s="71"/>
      <c r="E188" s="71"/>
      <c r="F188" s="71"/>
      <c r="G188" s="71"/>
      <c r="H188" s="71"/>
      <c r="I188" s="71"/>
      <c r="J188" s="71"/>
      <c r="K188" s="71"/>
      <c r="L188" s="71"/>
      <c r="N188" s="72"/>
      <c r="O188" s="72"/>
      <c r="P188" s="72"/>
      <c r="Q188" s="72"/>
      <c r="R188" s="72"/>
      <c r="S188" s="72"/>
      <c r="AH188" s="72"/>
      <c r="AI188" s="72"/>
      <c r="AJ188" s="72"/>
      <c r="AK188" s="72"/>
      <c r="AL188" s="72"/>
      <c r="AM188" s="72"/>
      <c r="AN188" s="72"/>
      <c r="AO188" s="72"/>
      <c r="AP188" s="72"/>
      <c r="AQ188" s="72"/>
      <c r="AR188" s="72"/>
    </row>
    <row r="189" spans="2:44" x14ac:dyDescent="0.25">
      <c r="N189" s="72"/>
      <c r="O189" s="72"/>
      <c r="P189" s="72"/>
      <c r="Q189" s="72"/>
      <c r="R189" s="72"/>
      <c r="S189" s="72"/>
      <c r="AH189" s="72"/>
      <c r="AI189" s="72"/>
      <c r="AJ189" s="72"/>
      <c r="AK189" s="72"/>
      <c r="AL189" s="72"/>
      <c r="AM189" s="72"/>
      <c r="AN189" s="72"/>
      <c r="AO189" s="72"/>
      <c r="AP189" s="72"/>
      <c r="AQ189" s="72"/>
      <c r="AR189" s="72"/>
    </row>
    <row r="190" spans="2:44" x14ac:dyDescent="0.25">
      <c r="N190" s="72"/>
      <c r="O190" s="72"/>
      <c r="P190" s="72"/>
      <c r="Q190" s="72"/>
      <c r="R190" s="72"/>
      <c r="S190" s="72"/>
      <c r="AH190" s="72"/>
      <c r="AI190" s="72"/>
      <c r="AJ190" s="72"/>
      <c r="AK190" s="72"/>
      <c r="AL190" s="72"/>
      <c r="AM190" s="72"/>
      <c r="AN190" s="72"/>
      <c r="AO190" s="72"/>
      <c r="AP190" s="72"/>
      <c r="AQ190" s="72"/>
      <c r="AR190" s="72"/>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oupa</dc:creator>
  <cp:lastModifiedBy>Johan Biewenga</cp:lastModifiedBy>
  <dcterms:created xsi:type="dcterms:W3CDTF">2017-05-30T10:28:36Z</dcterms:created>
  <dcterms:modified xsi:type="dcterms:W3CDTF">2017-05-30T10:31:27Z</dcterms:modified>
</cp:coreProperties>
</file>